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418" activeTab="0"/>
  </bookViews>
  <sheets>
    <sheet name="Simple Setup" sheetId="1" r:id="rId1"/>
    <sheet name="Offset &amp; Differential" sheetId="2" r:id="rId2"/>
    <sheet name="ServoPlus" sheetId="3" r:id="rId3"/>
    <sheet name="PropStuff" sheetId="4" r:id="rId4"/>
  </sheets>
  <definedNames>
    <definedName name="solver_adj" localSheetId="1" hidden="1">'Offset &amp; Differential'!$H$7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'Offset &amp; Differential'!#REF!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'Offset &amp; Differential'!$H$15</definedName>
    <definedName name="solver_pre" localSheetId="1" hidden="1">0.000001</definedName>
    <definedName name="solver_rel1" localSheetId="1" hidden="1">1</definedName>
    <definedName name="solver_rhs1" localSheetId="1" hidden="1">'Offset &amp; Differential'!#REF!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Craig Tenney</author>
  </authors>
  <commentList>
    <comment ref="B3" authorId="0">
      <text>
        <r>
          <rPr>
            <b/>
            <sz val="8"/>
            <rFont val="Tahoma"/>
            <family val="0"/>
          </rPr>
          <t>Servo distance forward of hingeline (cm)</t>
        </r>
      </text>
    </comment>
    <comment ref="B5" authorId="0">
      <text>
        <r>
          <rPr>
            <b/>
            <sz val="8"/>
            <rFont val="Tahoma"/>
            <family val="0"/>
          </rPr>
          <t>Control horn distance aft of hingeline (cm)</t>
        </r>
      </text>
    </comment>
    <comment ref="B6" authorId="0">
      <text>
        <r>
          <rPr>
            <b/>
            <sz val="8"/>
            <rFont val="Tahoma"/>
            <family val="0"/>
          </rPr>
          <t>Control horn height above/below chordline (cm)</t>
        </r>
      </text>
    </comment>
    <comment ref="B10" authorId="0">
      <text>
        <r>
          <rPr>
            <b/>
            <sz val="8"/>
            <rFont val="Tahoma"/>
            <family val="0"/>
          </rPr>
          <t>Maximum positive control rotation (degrees)</t>
        </r>
      </text>
    </comment>
    <comment ref="B11" authorId="0">
      <text>
        <r>
          <rPr>
            <b/>
            <sz val="8"/>
            <rFont val="Tahoma"/>
            <family val="0"/>
          </rPr>
          <t>Maximum negative control rotation (degrees)</t>
        </r>
      </text>
    </comment>
    <comment ref="B8" authorId="0">
      <text>
        <r>
          <rPr>
            <b/>
            <sz val="8"/>
            <rFont val="Tahoma"/>
            <family val="0"/>
          </rPr>
          <t>Maximum postitive servo rotation (degrees)</t>
        </r>
      </text>
    </comment>
    <comment ref="B9" authorId="0">
      <text>
        <r>
          <rPr>
            <b/>
            <sz val="8"/>
            <rFont val="Tahoma"/>
            <family val="0"/>
          </rPr>
          <t>Maximum negative servo rotation (degrees)</t>
        </r>
      </text>
    </comment>
    <comment ref="B13" authorId="0">
      <text>
        <r>
          <rPr>
            <b/>
            <sz val="8"/>
            <rFont val="Tahoma"/>
            <family val="0"/>
          </rPr>
          <t>Control offset from neutral (degrees)</t>
        </r>
      </text>
    </comment>
    <comment ref="B15" authorId="0">
      <text>
        <r>
          <rPr>
            <b/>
            <sz val="8"/>
            <rFont val="Tahoma"/>
            <family val="0"/>
          </rPr>
          <t>Reverse servo rotation</t>
        </r>
      </text>
    </comment>
    <comment ref="B17" authorId="0">
      <text>
        <r>
          <rPr>
            <b/>
            <sz val="8"/>
            <rFont val="Tahoma"/>
            <family val="0"/>
          </rPr>
          <t>Average control surface chord (cm)</t>
        </r>
      </text>
    </comment>
    <comment ref="B18" authorId="0">
      <text>
        <r>
          <rPr>
            <b/>
            <sz val="8"/>
            <rFont val="Tahoma"/>
            <family val="0"/>
          </rPr>
          <t>Average control surface length (cm)</t>
        </r>
      </text>
    </comment>
    <comment ref="B14" authorId="0">
      <text>
        <r>
          <rPr>
            <b/>
            <sz val="8"/>
            <rFont val="Tahoma"/>
            <family val="0"/>
          </rPr>
          <t>Relative angle of attack of surface (degrees)</t>
        </r>
      </text>
    </comment>
    <comment ref="B20" authorId="0">
      <text>
        <r>
          <rPr>
            <b/>
            <sz val="8"/>
            <rFont val="Tahoma"/>
            <family val="0"/>
          </rPr>
          <t>Current transmitter stick position (%)</t>
        </r>
      </text>
    </comment>
    <comment ref="B21" authorId="0">
      <text>
        <r>
          <rPr>
            <b/>
            <sz val="8"/>
            <rFont val="Tahoma"/>
            <family val="0"/>
          </rPr>
          <t>Current control surface deflection angle (degrees)</t>
        </r>
      </text>
    </comment>
    <comment ref="C1" authorId="0">
      <text>
        <r>
          <rPr>
            <b/>
            <sz val="8"/>
            <rFont val="Tahoma"/>
            <family val="0"/>
          </rPr>
          <t>Cells with red triangle markers contain detailed comments.</t>
        </r>
      </text>
    </comment>
    <comment ref="C8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9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0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1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6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7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C18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  <comment ref="B30" authorId="0">
      <text>
        <r>
          <rPr>
            <b/>
            <sz val="8"/>
            <rFont val="Tahoma"/>
            <family val="0"/>
          </rPr>
          <t>Servo arm/chordline angle at 0% stick (degrees)</t>
        </r>
      </text>
    </comment>
    <comment ref="B4" authorId="0">
      <text>
        <r>
          <rPr>
            <b/>
            <sz val="8"/>
            <rFont val="Tahoma"/>
            <family val="0"/>
          </rPr>
          <t>Servo distance above/below chordline (cm)</t>
        </r>
      </text>
    </comment>
    <comment ref="B25" authorId="0">
      <text>
        <r>
          <rPr>
            <b/>
            <sz val="8"/>
            <rFont val="Tahoma"/>
            <family val="0"/>
          </rPr>
          <t>Maximum required servo torque (ounce inches)</t>
        </r>
      </text>
    </comment>
    <comment ref="B31" authorId="0">
      <text>
        <r>
          <rPr>
            <b/>
            <sz val="8"/>
            <rFont val="Tahoma"/>
            <family val="0"/>
          </rPr>
          <t>Servo arm length (cm)</t>
        </r>
      </text>
    </comment>
    <comment ref="B29" authorId="0">
      <text>
        <r>
          <rPr>
            <b/>
            <sz val="8"/>
            <rFont val="Tahoma"/>
            <family val="0"/>
          </rPr>
          <t>Servo arm/pushrod angle at 0% stick (degrees)</t>
        </r>
      </text>
    </comment>
    <comment ref="B27" authorId="0">
      <text>
        <r>
          <rPr>
            <b/>
            <sz val="8"/>
            <rFont val="Tahoma"/>
            <family val="0"/>
          </rPr>
          <t>Maximum force exerted on/by pushrod (pounds force)</t>
        </r>
      </text>
    </comment>
    <comment ref="B26" authorId="0">
      <text>
        <r>
          <rPr>
            <b/>
            <sz val="8"/>
            <rFont val="Tahoma"/>
            <family val="0"/>
          </rPr>
          <t>Maximum torque on control horn (ounce inches)</t>
        </r>
      </text>
    </comment>
    <comment ref="B32" authorId="0">
      <text>
        <r>
          <rPr>
            <b/>
            <sz val="8"/>
            <rFont val="Tahoma"/>
            <family val="0"/>
          </rPr>
          <t>Pushrod length (cm)</t>
        </r>
      </text>
    </comment>
    <comment ref="B16" authorId="0">
      <text>
        <r>
          <rPr>
            <b/>
            <sz val="8"/>
            <rFont val="Tahoma"/>
            <family val="0"/>
          </rPr>
          <t>Maximum airspeed (miles / hour)</t>
        </r>
      </text>
    </comment>
    <comment ref="C3" authorId="0">
      <text>
        <r>
          <rPr>
            <b/>
            <sz val="8"/>
            <rFont val="Tahoma"/>
            <family val="0"/>
          </rPr>
          <t>This cell value can be adjusted manually.</t>
        </r>
      </text>
    </comment>
  </commentList>
</comments>
</file>

<file path=xl/sharedStrings.xml><?xml version="1.0" encoding="utf-8"?>
<sst xmlns="http://schemas.openxmlformats.org/spreadsheetml/2006/main" count="324" uniqueCount="220">
  <si>
    <t>Rc+</t>
  </si>
  <si>
    <t>Rc-</t>
  </si>
  <si>
    <t>Rs+</t>
  </si>
  <si>
    <t>Rs-</t>
  </si>
  <si>
    <t>Lc</t>
  </si>
  <si>
    <t>Aco</t>
  </si>
  <si>
    <t>Ac+</t>
  </si>
  <si>
    <t>Ac-</t>
  </si>
  <si>
    <t>K+</t>
  </si>
  <si>
    <t>K-</t>
  </si>
  <si>
    <t>A</t>
  </si>
  <si>
    <t>B</t>
  </si>
  <si>
    <t>Aro</t>
  </si>
  <si>
    <t>Aso</t>
  </si>
  <si>
    <t>As+</t>
  </si>
  <si>
    <t>As-</t>
  </si>
  <si>
    <t>Oc</t>
  </si>
  <si>
    <t>Xo</t>
  </si>
  <si>
    <t>Yo</t>
  </si>
  <si>
    <t>X+</t>
  </si>
  <si>
    <t>Y+</t>
  </si>
  <si>
    <t>X-</t>
  </si>
  <si>
    <t>Y-</t>
  </si>
  <si>
    <t>Ls</t>
  </si>
  <si>
    <t>Xs</t>
  </si>
  <si>
    <t>Ys</t>
  </si>
  <si>
    <t>Xc</t>
  </si>
  <si>
    <t>Yc</t>
  </si>
  <si>
    <t>Lp</t>
  </si>
  <si>
    <t>AoA</t>
  </si>
  <si>
    <t>C</t>
  </si>
  <si>
    <t>HL</t>
  </si>
  <si>
    <t>CL</t>
  </si>
  <si>
    <t>SC</t>
  </si>
  <si>
    <t>SL</t>
  </si>
  <si>
    <t>TE</t>
  </si>
  <si>
    <t>LE</t>
  </si>
  <si>
    <t>CB</t>
  </si>
  <si>
    <t>X</t>
  </si>
  <si>
    <t>Y</t>
  </si>
  <si>
    <t>Stick</t>
  </si>
  <si>
    <t>As</t>
  </si>
  <si>
    <t>Ac</t>
  </si>
  <si>
    <t>Ac2</t>
  </si>
  <si>
    <t>Ac1</t>
  </si>
  <si>
    <t>X hl</t>
  </si>
  <si>
    <t>Y hl</t>
  </si>
  <si>
    <t>Y sc</t>
  </si>
  <si>
    <t>X sc</t>
  </si>
  <si>
    <t>atan(B/A)</t>
  </si>
  <si>
    <t>Max</t>
  </si>
  <si>
    <t>Min</t>
  </si>
  <si>
    <t>S rev</t>
  </si>
  <si>
    <t>A flip</t>
  </si>
  <si>
    <t>fYs</t>
  </si>
  <si>
    <t>fXc</t>
  </si>
  <si>
    <t>fYc</t>
  </si>
  <si>
    <t>fOc</t>
  </si>
  <si>
    <t>fAoA</t>
  </si>
  <si>
    <t>fStick</t>
  </si>
  <si>
    <t>cm</t>
  </si>
  <si>
    <t>deg</t>
  </si>
  <si>
    <t>mph</t>
  </si>
  <si>
    <t>oz-in</t>
  </si>
  <si>
    <t>lbf</t>
  </si>
  <si>
    <t>%</t>
  </si>
  <si>
    <t>Acp</t>
  </si>
  <si>
    <t>Asp</t>
  </si>
  <si>
    <t>Aspo</t>
  </si>
  <si>
    <t>Tc</t>
  </si>
  <si>
    <t>Ts</t>
  </si>
  <si>
    <t>Fp</t>
  </si>
  <si>
    <t>Ts max</t>
  </si>
  <si>
    <t>Tc max</t>
  </si>
  <si>
    <t>Fp max</t>
  </si>
  <si>
    <t>Vmax</t>
  </si>
  <si>
    <t>Cavg</t>
  </si>
  <si>
    <t>Lavg</t>
  </si>
  <si>
    <t>TEdef</t>
  </si>
  <si>
    <t>CSang</t>
  </si>
  <si>
    <t>Output Data:</t>
  </si>
  <si>
    <t>Control Geometry Data:</t>
  </si>
  <si>
    <t>Stuff:</t>
  </si>
  <si>
    <t>Pushrod Force (lbf) vs. Deflection</t>
  </si>
  <si>
    <t>Control Horn Torque (oz-in) vs. Deflection</t>
  </si>
  <si>
    <t>Req'd Servo Torque (oz-in) vs. Deflection</t>
  </si>
  <si>
    <t>Maximum airspeed (mi/hr)</t>
  </si>
  <si>
    <t>Servo Torque Required for Up/Right (+) Surface Deflections</t>
  </si>
  <si>
    <t>Servo Torque Required for Down/Left (-) Surface Deflections</t>
  </si>
  <si>
    <t>Data for Control Geometry Plots</t>
  </si>
  <si>
    <t>Data for Control Deflection Plots</t>
  </si>
  <si>
    <t>Aileron(s)</t>
  </si>
  <si>
    <t>Elevator(s)</t>
  </si>
  <si>
    <t>Rudder</t>
  </si>
  <si>
    <t>Airspeed (mi/hr):</t>
  </si>
  <si>
    <t>HLx</t>
  </si>
  <si>
    <t>HLy</t>
  </si>
  <si>
    <t>P</t>
  </si>
  <si>
    <t>Hc</t>
  </si>
  <si>
    <t>L</t>
  </si>
  <si>
    <t>Pos</t>
  </si>
  <si>
    <t>Neg</t>
  </si>
  <si>
    <t>Average control surface chord (cm)</t>
  </si>
  <si>
    <t>Surface</t>
  </si>
  <si>
    <t>Servo</t>
  </si>
  <si>
    <t>TE def.</t>
  </si>
  <si>
    <t>Average control surface length (cm)</t>
  </si>
  <si>
    <t>Angle</t>
  </si>
  <si>
    <t>Required Servo Torque (oz-in)</t>
  </si>
  <si>
    <t>(cm)</t>
  </si>
  <si>
    <t>(%)</t>
  </si>
  <si>
    <t>Ax</t>
  </si>
  <si>
    <t>Ex</t>
  </si>
  <si>
    <t>Rx</t>
  </si>
  <si>
    <t>Ay</t>
  </si>
  <si>
    <t>Ey</t>
  </si>
  <si>
    <t>Ry</t>
  </si>
  <si>
    <t>Ail</t>
  </si>
  <si>
    <t>Maximum up/right (+) rotation of servo arm (degrees)</t>
  </si>
  <si>
    <t>Hs</t>
  </si>
  <si>
    <t>Maximum down/left (-) rotation of servo arm (degrees)</t>
  </si>
  <si>
    <t>Neutral</t>
  </si>
  <si>
    <t>Maximum up/right (+) rotation of control surface (degrees)</t>
  </si>
  <si>
    <t>Maximum down/left (-) rotation of control surface (degrees)</t>
  </si>
  <si>
    <t>SA</t>
  </si>
  <si>
    <t>CA</t>
  </si>
  <si>
    <t>CH</t>
  </si>
  <si>
    <t>Pushrod to control horn angle (A in figure, default 90 degrees)</t>
  </si>
  <si>
    <t>Elev</t>
  </si>
  <si>
    <t>Maximum required torque at maximum airspeed (oz-in)</t>
  </si>
  <si>
    <t>Virtual pushrod to control horn angle at neutral (degrees)</t>
  </si>
  <si>
    <t>Required pushrod to servo arm angle at neutral (degrees)</t>
  </si>
  <si>
    <t>Required servo arm length (cm)</t>
  </si>
  <si>
    <t>Rud</t>
  </si>
  <si>
    <t>stalled servo:  required torque exceeds available torque</t>
  </si>
  <si>
    <t>Sample optimization of aileron control setup for minimum servo demand:</t>
  </si>
  <si>
    <t>1  To limit total aileron servo throw to 120 degrees, enter the formula (=120-H7) in cell H8.</t>
  </si>
  <si>
    <t>2  Use the spin button in cell H7 to vary aileron servo throw.</t>
  </si>
  <si>
    <t>3  Watch cell H15 for maximum required aileron servo torque at maximum airspeed.</t>
  </si>
  <si>
    <t>4  Choose the servo throw that minimizes the maximum required torque.</t>
  </si>
  <si>
    <t>(Note: The maximum required torque is the highest point of the red OR blue line in the graph.)</t>
  </si>
  <si>
    <r>
      <t>Optional:</t>
    </r>
    <r>
      <rPr>
        <sz val="10"/>
        <rFont val="Arial"/>
        <family val="2"/>
      </rPr>
      <t xml:space="preserve">  Maximum available servo torque (oz-in)</t>
    </r>
  </si>
  <si>
    <r>
      <t>Optional:</t>
    </r>
    <r>
      <rPr>
        <sz val="10"/>
        <rFont val="Arial"/>
        <family val="2"/>
      </rPr>
      <t xml:space="preserve"> Control horn distance behind hingeline (D in figure, cm)</t>
    </r>
  </si>
  <si>
    <r>
      <t>Optional:</t>
    </r>
    <r>
      <rPr>
        <sz val="10"/>
        <rFont val="Arial"/>
        <family val="2"/>
      </rPr>
      <t xml:space="preserve"> Control linkage distance from chordline (H in figure, cm)</t>
    </r>
  </si>
  <si>
    <r>
      <t>Hint:</t>
    </r>
    <r>
      <rPr>
        <sz val="10"/>
        <rFont val="Arial"/>
        <family val="2"/>
      </rPr>
      <t xml:space="preserve"> see sample optimization routine below</t>
    </r>
  </si>
  <si>
    <t>This spreadsheet predicts required servo torques using the following assumptions:</t>
  </si>
  <si>
    <t>Please note:</t>
  </si>
  <si>
    <t>s = servo arm angle from neutral</t>
  </si>
  <si>
    <t>S = control surface angle from neutral</t>
  </si>
  <si>
    <t>M = molecular weight of air (~28.6 g/mol)</t>
  </si>
  <si>
    <t>P = air pressure (1 atm)</t>
  </si>
  <si>
    <t>C = average chord length of control surface</t>
  </si>
  <si>
    <t>L = average length of control surface</t>
  </si>
  <si>
    <t>V = airspeed</t>
  </si>
  <si>
    <t>T = air temperature (~290 K)</t>
  </si>
  <si>
    <t>t = servo torque</t>
  </si>
  <si>
    <t>Just be sure to give proper credit to its creator.</t>
  </si>
  <si>
    <t>Feel free to share this spreadsheet and model with other individuals for nonprofit use.</t>
  </si>
  <si>
    <t>7 The wing, stab, fuse, and control surfaces are thin, flat slabs.</t>
  </si>
  <si>
    <t>2 Angular velocity and acceleration of the aircraft is zero.</t>
  </si>
  <si>
    <t>4 Conditions are:  sea level, zero humidity, moderate (~55 F) temperature.</t>
  </si>
  <si>
    <t>6 Control mechanisms are frictionless and surfaces are mass-balanced.</t>
  </si>
  <si>
    <t>Maximum deflection of servo arm from center (degrees)</t>
  </si>
  <si>
    <t>Maximum deflection of control surface from center (degrees)</t>
  </si>
  <si>
    <t>8 No aerodynamic counterbalances are used.  (Account for these manually, if desired.)</t>
  </si>
  <si>
    <t>Servo Torque Required for Various Intermediate Surface Deflections</t>
  </si>
  <si>
    <r>
      <t>A = sin(S) * tan</t>
    </r>
    <r>
      <rPr>
        <sz val="10"/>
        <rFont val="Arial"/>
        <family val="2"/>
      </rPr>
      <t>(S) / tan(s)</t>
    </r>
  </si>
  <si>
    <r>
      <t>R = ideal gas constant (82.056 atm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 mol K)</t>
    </r>
  </si>
  <si>
    <t>Aho</t>
  </si>
  <si>
    <t>Point Here</t>
  </si>
  <si>
    <r>
      <t>Control Linkage Diagram</t>
    </r>
    <r>
      <rPr>
        <sz val="10"/>
        <rFont val="Arial"/>
        <family val="2"/>
      </rPr>
      <t xml:space="preserve"> (Click on the diagram to recenter the image.)</t>
    </r>
  </si>
  <si>
    <t>Asco</t>
  </si>
  <si>
    <t>slack</t>
  </si>
  <si>
    <t>mm</t>
  </si>
  <si>
    <r>
      <t>D</t>
    </r>
    <r>
      <rPr>
        <sz val="10"/>
        <rFont val="Arial"/>
        <family val="2"/>
      </rPr>
      <t>Ac</t>
    </r>
  </si>
  <si>
    <t>Offset at either the servo or control horn may be required to eliminate binding.</t>
  </si>
  <si>
    <t>Positive values indicate slack.  Negative values indicate binding.</t>
  </si>
  <si>
    <t>The results are coarse, to say the least, but it's better than a blind guess.</t>
  </si>
  <si>
    <t>3 Air flow may be modelled using the concept of dynamic pressure.</t>
  </si>
  <si>
    <t>1 The angle of attack of the wing, stab, or fuse is zero (relative to the airflow).*</t>
  </si>
  <si>
    <t>5 Control linkages have zero offset at hingeline and are perpendicular to horns at neutral.**</t>
  </si>
  <si>
    <t>9 The pushrods are significantly longer than the servo and control horns.*</t>
  </si>
  <si>
    <t>* This assumption dropped in "ServoPlus" worksheet.</t>
  </si>
  <si>
    <t>** This assumption dropped in "Offset &amp; Differential" and "ServoPlus" worksheets.</t>
  </si>
  <si>
    <t>The calculations are completely theoretical.  No empirical "tweaking" has been done.</t>
  </si>
  <si>
    <t>The assumptions (except #6) should generally yield conservative (high) predicted torques.</t>
  </si>
  <si>
    <t>Extreme control throws are probably not practical at high speeds.</t>
  </si>
  <si>
    <t>This model is best used for comparisons.  No guarantees are made of its validity.</t>
  </si>
  <si>
    <t>Maximum required servo torque may occur at LESS than maximum throw.</t>
  </si>
  <si>
    <t>The mathematical model:    t = (AMPC2LV2) / (4RT)      where</t>
  </si>
  <si>
    <t>T=</t>
  </si>
  <si>
    <t>F</t>
  </si>
  <si>
    <t>K</t>
  </si>
  <si>
    <t>Cp/Cv=</t>
  </si>
  <si>
    <t>speed of sound = sqrt[(R T Cp) / (M Cv)]</t>
  </si>
  <si>
    <t>Cp/Cv for air from Perry's ChE's Handbook</t>
  </si>
  <si>
    <t>Assuming ideal gas behavior:</t>
  </si>
  <si>
    <t>Theoretical max level flight speed based on prop pitch and rpm (and prop tip speed thrown in, too)</t>
  </si>
  <si>
    <t>Condense Axes</t>
  </si>
  <si>
    <t>Stickmin</t>
  </si>
  <si>
    <t>Stickmax</t>
  </si>
  <si>
    <t>Unit</t>
  </si>
  <si>
    <r>
      <t xml:space="preserve">Deflection vs. Stick Pos. </t>
    </r>
    <r>
      <rPr>
        <sz val="10"/>
        <rFont val="Arial"/>
        <family val="2"/>
      </rPr>
      <t>(Click to toggle)</t>
    </r>
  </si>
  <si>
    <t>Torque, Force, and Deflection Data:</t>
  </si>
  <si>
    <t>Asco = 90 degrees (see Output Data) corresponds to zero servo offset (i.e. straight arms).</t>
  </si>
  <si>
    <t>Drag, airfoils, and gravity are ignored (realistic, eh?).</t>
  </si>
  <si>
    <t>High prop tip speeds make for noisy airplanes.</t>
  </si>
  <si>
    <r>
      <t>Requires:</t>
    </r>
    <r>
      <rPr>
        <sz val="10"/>
        <rFont val="Arial"/>
        <family val="2"/>
      </rPr>
      <t xml:space="preserve">  Equal +/- servo throw (Rs+ = Rs-) and servo on centerline (Ys = 0)</t>
    </r>
  </si>
  <si>
    <r>
      <t>Assumed:</t>
    </r>
    <r>
      <rPr>
        <sz val="10"/>
        <rFont val="Arial"/>
        <family val="2"/>
      </rPr>
      <t xml:space="preserve">  Pull cables are equal length and connected to either side of servo wheel or arm.</t>
    </r>
  </si>
  <si>
    <t>Click any plot below to toggle +/- axis overlap.</t>
  </si>
  <si>
    <r>
      <t>Pull-Pull Analysis</t>
    </r>
    <r>
      <rPr>
        <sz val="10"/>
        <rFont val="Arial"/>
        <family val="2"/>
      </rPr>
      <t xml:space="preserve"> (click plot to toggle between slack and "play")</t>
    </r>
  </si>
  <si>
    <r>
      <t>Note:</t>
    </r>
    <r>
      <rPr>
        <sz val="10"/>
        <rFont val="Arial"/>
        <family val="2"/>
      </rPr>
      <t xml:space="preserve"> You can make copies of this worksheet in this workbook for use with different control surfaces.</t>
    </r>
  </si>
  <si>
    <t>Input Data:</t>
  </si>
  <si>
    <t>Diameter (in)</t>
  </si>
  <si>
    <t>Pitch (in)</t>
  </si>
  <si>
    <t>RPM</t>
  </si>
  <si>
    <t>Max airspeed (mph)</t>
  </si>
  <si>
    <t>Prop tip speed (Mach)</t>
  </si>
  <si>
    <t>("High" seems to be very roughly Mach 0.6+.)</t>
  </si>
  <si>
    <t>M ~ 28.6 g/mol for dry 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</si>
</sst>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0000\ "/>
  </numFmts>
  <fonts count="2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8.5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0"/>
    </font>
    <font>
      <sz val="10"/>
      <name val="Symbol"/>
      <family val="1"/>
    </font>
    <font>
      <b/>
      <sz val="9"/>
      <name val="Arial"/>
      <family val="2"/>
    </font>
    <font>
      <sz val="8.5"/>
      <color indexed="10"/>
      <name val="Arial"/>
      <family val="2"/>
    </font>
    <font>
      <sz val="8.25"/>
      <color indexed="12"/>
      <name val="Arial"/>
      <family val="2"/>
    </font>
    <font>
      <sz val="8.25"/>
      <color indexed="13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 locked="0"/>
    </xf>
    <xf numFmtId="9" fontId="0" fillId="2" borderId="0" xfId="21" applyFont="1" applyFill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 horizontal="center"/>
      <protection hidden="1"/>
    </xf>
    <xf numFmtId="164" fontId="0" fillId="2" borderId="0" xfId="0" applyNumberFormat="1" applyFont="1" applyFill="1" applyAlignment="1" applyProtection="1">
      <alignment horizontal="center"/>
      <protection hidden="1"/>
    </xf>
    <xf numFmtId="2" fontId="0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left"/>
      <protection hidden="1"/>
    </xf>
    <xf numFmtId="164" fontId="0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164" fontId="0" fillId="3" borderId="5" xfId="0" applyNumberFormat="1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center"/>
      <protection hidden="1"/>
    </xf>
    <xf numFmtId="164" fontId="0" fillId="3" borderId="9" xfId="0" applyNumberFormat="1" applyFont="1" applyFill="1" applyBorder="1" applyAlignment="1" applyProtection="1">
      <alignment horizontal="center"/>
      <protection hidden="1"/>
    </xf>
    <xf numFmtId="164" fontId="0" fillId="3" borderId="8" xfId="0" applyNumberFormat="1" applyFont="1" applyFill="1" applyBorder="1" applyAlignment="1" applyProtection="1">
      <alignment horizontal="center"/>
      <protection hidden="1"/>
    </xf>
    <xf numFmtId="0" fontId="0" fillId="3" borderId="10" xfId="0" applyFont="1" applyFill="1" applyBorder="1" applyAlignment="1" applyProtection="1">
      <alignment horizontal="center"/>
      <protection hidden="1"/>
    </xf>
    <xf numFmtId="0" fontId="0" fillId="3" borderId="11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164" fontId="0" fillId="3" borderId="13" xfId="0" applyNumberFormat="1" applyFont="1" applyFill="1" applyBorder="1" applyAlignment="1" applyProtection="1">
      <alignment horizontal="center"/>
      <protection hidden="1"/>
    </xf>
    <xf numFmtId="164" fontId="0" fillId="3" borderId="14" xfId="0" applyNumberFormat="1" applyFont="1" applyFill="1" applyBorder="1" applyAlignment="1" applyProtection="1">
      <alignment horizontal="center"/>
      <protection hidden="1"/>
    </xf>
    <xf numFmtId="0" fontId="0" fillId="3" borderId="15" xfId="0" applyFont="1" applyFill="1" applyBorder="1" applyAlignment="1" applyProtection="1">
      <alignment horizontal="center"/>
      <protection hidden="1"/>
    </xf>
    <xf numFmtId="164" fontId="0" fillId="3" borderId="16" xfId="0" applyNumberFormat="1" applyFont="1" applyFill="1" applyBorder="1" applyAlignment="1" applyProtection="1">
      <alignment horizontal="right"/>
      <protection hidden="1"/>
    </xf>
    <xf numFmtId="164" fontId="0" fillId="3" borderId="17" xfId="0" applyNumberFormat="1" applyFont="1" applyFill="1" applyBorder="1" applyAlignment="1" applyProtection="1">
      <alignment horizontal="right"/>
      <protection hidden="1"/>
    </xf>
    <xf numFmtId="164" fontId="0" fillId="3" borderId="0" xfId="0" applyNumberFormat="1" applyFont="1" applyFill="1" applyBorder="1" applyAlignment="1" applyProtection="1">
      <alignment horizontal="right"/>
      <protection hidden="1"/>
    </xf>
    <xf numFmtId="9" fontId="0" fillId="3" borderId="16" xfId="21" applyFont="1" applyFill="1" applyBorder="1" applyAlignment="1" applyProtection="1">
      <alignment horizontal="center"/>
      <protection hidden="1"/>
    </xf>
    <xf numFmtId="164" fontId="0" fillId="3" borderId="0" xfId="0" applyNumberFormat="1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Border="1" applyAlignment="1" applyProtection="1">
      <alignment horizontal="center"/>
      <protection hidden="1"/>
    </xf>
    <xf numFmtId="1" fontId="0" fillId="3" borderId="17" xfId="0" applyNumberFormat="1" applyFont="1" applyFill="1" applyBorder="1" applyAlignment="1" applyProtection="1">
      <alignment horizontal="center"/>
      <protection hidden="1"/>
    </xf>
    <xf numFmtId="0" fontId="0" fillId="3" borderId="18" xfId="0" applyFont="1" applyFill="1" applyBorder="1" applyAlignment="1" applyProtection="1">
      <alignment horizontal="center"/>
      <protection hidden="1"/>
    </xf>
    <xf numFmtId="0" fontId="0" fillId="3" borderId="19" xfId="0" applyFont="1" applyFill="1" applyBorder="1" applyAlignment="1" applyProtection="1">
      <alignment horizontal="center"/>
      <protection hidden="1"/>
    </xf>
    <xf numFmtId="0" fontId="0" fillId="3" borderId="20" xfId="0" applyFont="1" applyFill="1" applyBorder="1" applyAlignment="1" applyProtection="1">
      <alignment horizontal="center"/>
      <protection hidden="1"/>
    </xf>
    <xf numFmtId="0" fontId="0" fillId="3" borderId="21" xfId="0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right"/>
      <protection hidden="1"/>
    </xf>
    <xf numFmtId="0" fontId="0" fillId="3" borderId="3" xfId="0" applyFont="1" applyFill="1" applyBorder="1" applyAlignment="1" applyProtection="1">
      <alignment horizontal="right"/>
      <protection hidden="1"/>
    </xf>
    <xf numFmtId="164" fontId="0" fillId="3" borderId="4" xfId="0" applyNumberFormat="1" applyFont="1" applyFill="1" applyBorder="1" applyAlignment="1" applyProtection="1">
      <alignment horizontal="right"/>
      <protection hidden="1"/>
    </xf>
    <xf numFmtId="164" fontId="0" fillId="3" borderId="5" xfId="0" applyNumberFormat="1" applyFont="1" applyFill="1" applyBorder="1" applyAlignment="1" applyProtection="1">
      <alignment horizontal="right"/>
      <protection hidden="1"/>
    </xf>
    <xf numFmtId="164" fontId="0" fillId="3" borderId="13" xfId="0" applyNumberFormat="1" applyFont="1" applyFill="1" applyBorder="1" applyAlignment="1" applyProtection="1">
      <alignment horizontal="right"/>
      <protection hidden="1"/>
    </xf>
    <xf numFmtId="164" fontId="0" fillId="3" borderId="14" xfId="0" applyNumberFormat="1" applyFont="1" applyFill="1" applyBorder="1" applyAlignment="1" applyProtection="1">
      <alignment horizontal="right"/>
      <protection hidden="1"/>
    </xf>
    <xf numFmtId="1" fontId="0" fillId="3" borderId="21" xfId="0" applyNumberFormat="1" applyFont="1" applyFill="1" applyBorder="1" applyAlignment="1" applyProtection="1">
      <alignment horizontal="center"/>
      <protection hidden="1"/>
    </xf>
    <xf numFmtId="9" fontId="0" fillId="3" borderId="22" xfId="21" applyFont="1" applyFill="1" applyBorder="1" applyAlignment="1" applyProtection="1">
      <alignment horizontal="center"/>
      <protection hidden="1"/>
    </xf>
    <xf numFmtId="1" fontId="0" fillId="3" borderId="13" xfId="0" applyNumberFormat="1" applyFont="1" applyFill="1" applyBorder="1" applyAlignment="1" applyProtection="1">
      <alignment horizontal="center"/>
      <protection hidden="1"/>
    </xf>
    <xf numFmtId="1" fontId="0" fillId="3" borderId="14" xfId="0" applyNumberFormat="1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3" fillId="4" borderId="21" xfId="0" applyFont="1" applyFill="1" applyBorder="1" applyAlignment="1" applyProtection="1">
      <alignment horizontal="center"/>
      <protection hidden="1" locked="0"/>
    </xf>
    <xf numFmtId="0" fontId="0" fillId="4" borderId="2" xfId="0" applyFont="1" applyFill="1" applyBorder="1" applyAlignment="1" applyProtection="1">
      <alignment horizontal="center"/>
      <protection hidden="1"/>
    </xf>
    <xf numFmtId="0" fontId="0" fillId="4" borderId="3" xfId="0" applyFont="1" applyFill="1" applyBorder="1" applyAlignment="1" applyProtection="1">
      <alignment horizontal="center"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0" fillId="4" borderId="12" xfId="0" applyFont="1" applyFill="1" applyBorder="1" applyAlignment="1" applyProtection="1">
      <alignment horizontal="center"/>
      <protection hidden="1"/>
    </xf>
    <xf numFmtId="0" fontId="0" fillId="4" borderId="22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 locked="0"/>
    </xf>
    <xf numFmtId="0" fontId="0" fillId="4" borderId="18" xfId="0" applyFont="1" applyFill="1" applyBorder="1" applyAlignment="1" applyProtection="1">
      <alignment horizontal="center"/>
      <protection hidden="1"/>
    </xf>
    <xf numFmtId="0" fontId="0" fillId="4" borderId="19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0" fillId="4" borderId="21" xfId="0" applyFont="1" applyFill="1" applyBorder="1" applyAlignment="1" applyProtection="1">
      <alignment horizontal="center"/>
      <protection hidden="1"/>
    </xf>
    <xf numFmtId="0" fontId="3" fillId="4" borderId="19" xfId="0" applyFont="1" applyFill="1" applyBorder="1" applyAlignment="1" applyProtection="1">
      <alignment horizontal="center"/>
      <protection hidden="1" locked="0"/>
    </xf>
    <xf numFmtId="0" fontId="0" fillId="4" borderId="5" xfId="0" applyFont="1" applyFill="1" applyBorder="1" applyAlignment="1" applyProtection="1">
      <alignment horizontal="center"/>
      <protection hidden="1"/>
    </xf>
    <xf numFmtId="0" fontId="0" fillId="5" borderId="3" xfId="0" applyFont="1" applyFill="1" applyBorder="1" applyAlignment="1" applyProtection="1">
      <alignment horizontal="center"/>
      <protection hidden="1"/>
    </xf>
    <xf numFmtId="1" fontId="0" fillId="5" borderId="4" xfId="0" applyNumberFormat="1" applyFont="1" applyFill="1" applyBorder="1" applyAlignment="1" applyProtection="1">
      <alignment horizontal="center"/>
      <protection hidden="1"/>
    </xf>
    <xf numFmtId="9" fontId="0" fillId="5" borderId="4" xfId="0" applyNumberFormat="1" applyFont="1" applyFill="1" applyBorder="1" applyAlignment="1" applyProtection="1">
      <alignment horizontal="center"/>
      <protection hidden="1"/>
    </xf>
    <xf numFmtId="0" fontId="0" fillId="5" borderId="5" xfId="0" applyFont="1" applyFill="1" applyBorder="1" applyAlignment="1" applyProtection="1">
      <alignment horizontal="center"/>
      <protection hidden="1"/>
    </xf>
    <xf numFmtId="0" fontId="0" fillId="5" borderId="16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0" fillId="5" borderId="17" xfId="0" applyFont="1" applyFill="1" applyBorder="1" applyAlignment="1" applyProtection="1">
      <alignment horizontal="center"/>
      <protection hidden="1"/>
    </xf>
    <xf numFmtId="0" fontId="0" fillId="5" borderId="22" xfId="0" applyFont="1" applyFill="1" applyBorder="1" applyAlignment="1" applyProtection="1">
      <alignment horizontal="center"/>
      <protection hidden="1"/>
    </xf>
    <xf numFmtId="0" fontId="0" fillId="5" borderId="14" xfId="0" applyFont="1" applyFill="1" applyBorder="1" applyAlignment="1" applyProtection="1">
      <alignment horizontal="center"/>
      <protection hidden="1"/>
    </xf>
    <xf numFmtId="0" fontId="0" fillId="5" borderId="13" xfId="0" applyFont="1" applyFill="1" applyBorder="1" applyAlignment="1" applyProtection="1">
      <alignment horizontal="center"/>
      <protection hidden="1"/>
    </xf>
    <xf numFmtId="1" fontId="0" fillId="3" borderId="11" xfId="0" applyNumberFormat="1" applyFont="1" applyFill="1" applyBorder="1" applyAlignment="1" applyProtection="1">
      <alignment horizontal="center"/>
      <protection hidden="1"/>
    </xf>
    <xf numFmtId="164" fontId="0" fillId="3" borderId="19" xfId="0" applyNumberFormat="1" applyFont="1" applyFill="1" applyBorder="1" applyAlignment="1" applyProtection="1">
      <alignment horizontal="center"/>
      <protection hidden="1"/>
    </xf>
    <xf numFmtId="164" fontId="0" fillId="3" borderId="11" xfId="0" applyNumberFormat="1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9" fontId="0" fillId="3" borderId="0" xfId="21" applyFont="1" applyFill="1" applyBorder="1" applyAlignment="1" applyProtection="1">
      <alignment horizontal="center"/>
      <protection hidden="1"/>
    </xf>
    <xf numFmtId="9" fontId="0" fillId="3" borderId="13" xfId="21" applyFont="1" applyFill="1" applyBorder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 locked="0"/>
    </xf>
    <xf numFmtId="0" fontId="0" fillId="4" borderId="4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 locked="0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1" fontId="6" fillId="6" borderId="2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1" fontId="0" fillId="3" borderId="4" xfId="0" applyNumberFormat="1" applyFont="1" applyFill="1" applyBorder="1" applyAlignment="1" applyProtection="1">
      <alignment horizontal="center"/>
      <protection hidden="1"/>
    </xf>
    <xf numFmtId="1" fontId="0" fillId="3" borderId="4" xfId="0" applyNumberFormat="1" applyFont="1" applyFill="1" applyBorder="1" applyAlignment="1" applyProtection="1">
      <alignment/>
      <protection hidden="1"/>
    </xf>
    <xf numFmtId="1" fontId="0" fillId="3" borderId="5" xfId="0" applyNumberFormat="1" applyFont="1" applyFill="1" applyBorder="1" applyAlignment="1" applyProtection="1">
      <alignment/>
      <protection hidden="1"/>
    </xf>
    <xf numFmtId="1" fontId="3" fillId="3" borderId="3" xfId="0" applyNumberFormat="1" applyFont="1" applyFill="1" applyBorder="1" applyAlignment="1" applyProtection="1">
      <alignment/>
      <protection hidden="1"/>
    </xf>
    <xf numFmtId="1" fontId="0" fillId="3" borderId="16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 horizontal="right"/>
      <protection hidden="1"/>
    </xf>
    <xf numFmtId="1" fontId="0" fillId="3" borderId="0" xfId="0" applyNumberFormat="1" applyFont="1" applyFill="1" applyBorder="1" applyAlignment="1" applyProtection="1">
      <alignment horizontal="center" wrapText="1"/>
      <protection hidden="1"/>
    </xf>
    <xf numFmtId="1" fontId="6" fillId="3" borderId="17" xfId="0" applyNumberFormat="1" applyFont="1" applyFill="1" applyBorder="1" applyAlignment="1" applyProtection="1">
      <alignment horizontal="center" wrapText="1"/>
      <protection hidden="1"/>
    </xf>
    <xf numFmtId="1" fontId="3" fillId="3" borderId="16" xfId="0" applyNumberFormat="1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" fontId="3" fillId="3" borderId="17" xfId="0" applyNumberFormat="1" applyFont="1" applyFill="1" applyBorder="1" applyAlignment="1" applyProtection="1">
      <alignment horizontal="center"/>
      <protection hidden="1"/>
    </xf>
    <xf numFmtId="0" fontId="0" fillId="6" borderId="23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ont="1" applyFill="1" applyBorder="1" applyAlignment="1" applyProtection="1">
      <alignment horizontal="center" vertical="top" wrapText="1"/>
      <protection hidden="1"/>
    </xf>
    <xf numFmtId="1" fontId="0" fillId="3" borderId="13" xfId="0" applyNumberFormat="1" applyFont="1" applyFill="1" applyBorder="1" applyAlignment="1" applyProtection="1">
      <alignment horizontal="left"/>
      <protection hidden="1"/>
    </xf>
    <xf numFmtId="0" fontId="0" fillId="3" borderId="13" xfId="0" applyFill="1" applyBorder="1" applyAlignment="1" applyProtection="1">
      <alignment horizontal="left"/>
      <protection hidden="1"/>
    </xf>
    <xf numFmtId="0" fontId="0" fillId="3" borderId="14" xfId="0" applyFill="1" applyBorder="1" applyAlignment="1" applyProtection="1">
      <alignment horizontal="left"/>
      <protection hidden="1"/>
    </xf>
    <xf numFmtId="1" fontId="8" fillId="6" borderId="23" xfId="0" applyNumberFormat="1" applyFont="1" applyFill="1" applyBorder="1" applyAlignment="1" applyProtection="1">
      <alignment horizontal="center"/>
      <protection locked="0"/>
    </xf>
    <xf numFmtId="1" fontId="7" fillId="3" borderId="3" xfId="0" applyNumberFormat="1" applyFont="1" applyFill="1" applyBorder="1" applyAlignment="1" applyProtection="1">
      <alignment/>
      <protection hidden="1"/>
    </xf>
    <xf numFmtId="1" fontId="9" fillId="3" borderId="4" xfId="0" applyNumberFormat="1" applyFont="1" applyFill="1" applyBorder="1" applyAlignment="1" applyProtection="1">
      <alignment horizontal="center"/>
      <protection hidden="1"/>
    </xf>
    <xf numFmtId="1" fontId="10" fillId="3" borderId="4" xfId="0" applyNumberFormat="1" applyFont="1" applyFill="1" applyBorder="1" applyAlignment="1" applyProtection="1">
      <alignment horizontal="center"/>
      <protection hidden="1"/>
    </xf>
    <xf numFmtId="1" fontId="0" fillId="3" borderId="5" xfId="0" applyNumberFormat="1" applyFont="1" applyFill="1" applyBorder="1" applyAlignment="1" applyProtection="1">
      <alignment horizontal="center"/>
      <protection hidden="1"/>
    </xf>
    <xf numFmtId="1" fontId="11" fillId="3" borderId="3" xfId="0" applyNumberFormat="1" applyFont="1" applyFill="1" applyBorder="1" applyAlignment="1" applyProtection="1">
      <alignment horizontal="center"/>
      <protection hidden="1"/>
    </xf>
    <xf numFmtId="1" fontId="10" fillId="6" borderId="23" xfId="0" applyNumberFormat="1" applyFont="1" applyFill="1" applyBorder="1" applyAlignment="1" applyProtection="1">
      <alignment horizontal="center"/>
      <protection locked="0"/>
    </xf>
    <xf numFmtId="164" fontId="0" fillId="3" borderId="17" xfId="0" applyNumberFormat="1" applyFont="1" applyFill="1" applyBorder="1" applyAlignment="1" applyProtection="1">
      <alignment horizontal="center"/>
      <protection hidden="1"/>
    </xf>
    <xf numFmtId="1" fontId="9" fillId="6" borderId="23" xfId="0" applyNumberFormat="1" applyFont="1" applyFill="1" applyBorder="1" applyAlignment="1" applyProtection="1">
      <alignment horizontal="center"/>
      <protection locked="0"/>
    </xf>
    <xf numFmtId="0" fontId="9" fillId="6" borderId="23" xfId="0" applyNumberFormat="1" applyFont="1" applyFill="1" applyBorder="1" applyAlignment="1" applyProtection="1">
      <alignment horizontal="center"/>
      <protection locked="0"/>
    </xf>
    <xf numFmtId="1" fontId="0" fillId="3" borderId="22" xfId="0" applyNumberFormat="1" applyFont="1" applyFill="1" applyBorder="1" applyAlignment="1" applyProtection="1">
      <alignment/>
      <protection hidden="1"/>
    </xf>
    <xf numFmtId="1" fontId="3" fillId="3" borderId="22" xfId="0" applyNumberFormat="1" applyFont="1" applyFill="1" applyBorder="1" applyAlignment="1" applyProtection="1">
      <alignment horizontal="center"/>
      <protection hidden="1"/>
    </xf>
    <xf numFmtId="1" fontId="0" fillId="3" borderId="23" xfId="0" applyNumberFormat="1" applyFont="1" applyFill="1" applyBorder="1" applyAlignment="1" applyProtection="1">
      <alignment horizontal="center"/>
      <protection hidden="1"/>
    </xf>
    <xf numFmtId="1" fontId="9" fillId="3" borderId="23" xfId="0" applyNumberFormat="1" applyFont="1" applyFill="1" applyBorder="1" applyAlignment="1" applyProtection="1">
      <alignment horizontal="center"/>
      <protection hidden="1"/>
    </xf>
    <xf numFmtId="1" fontId="10" fillId="3" borderId="23" xfId="0" applyNumberFormat="1" applyFont="1" applyFill="1" applyBorder="1" applyAlignment="1" applyProtection="1">
      <alignment horizontal="center"/>
      <protection hidden="1"/>
    </xf>
    <xf numFmtId="164" fontId="10" fillId="3" borderId="23" xfId="0" applyNumberFormat="1" applyFont="1" applyFill="1" applyBorder="1" applyAlignment="1" applyProtection="1">
      <alignment horizontal="center"/>
      <protection hidden="1"/>
    </xf>
    <xf numFmtId="1" fontId="8" fillId="3" borderId="7" xfId="0" applyNumberFormat="1" applyFont="1" applyFill="1" applyBorder="1" applyAlignment="1" applyProtection="1">
      <alignment horizontal="left"/>
      <protection hidden="1"/>
    </xf>
    <xf numFmtId="0" fontId="0" fillId="3" borderId="9" xfId="0" applyFill="1" applyBorder="1" applyAlignment="1" applyProtection="1">
      <alignment horizontal="left"/>
      <protection hidden="1"/>
    </xf>
    <xf numFmtId="0" fontId="0" fillId="3" borderId="8" xfId="0" applyFill="1" applyBorder="1" applyAlignment="1" applyProtection="1">
      <alignment horizontal="left"/>
      <protection hidden="1"/>
    </xf>
    <xf numFmtId="1" fontId="18" fillId="3" borderId="3" xfId="0" applyNumberFormat="1" applyFont="1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1" fontId="0" fillId="3" borderId="0" xfId="0" applyNumberFormat="1" applyFont="1" applyFill="1" applyBorder="1" applyAlignment="1" applyProtection="1">
      <alignment textRotation="180"/>
      <protection hidden="1"/>
    </xf>
    <xf numFmtId="1" fontId="0" fillId="3" borderId="3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/>
      <protection hidden="1"/>
    </xf>
    <xf numFmtId="164" fontId="0" fillId="3" borderId="23" xfId="0" applyNumberFormat="1" applyFont="1" applyFill="1" applyBorder="1" applyAlignment="1" applyProtection="1">
      <alignment horizontal="center"/>
      <protection hidden="1"/>
    </xf>
    <xf numFmtId="1" fontId="0" fillId="3" borderId="13" xfId="0" applyNumberFormat="1" applyFont="1" applyFill="1" applyBorder="1" applyAlignment="1" applyProtection="1">
      <alignment/>
      <protection hidden="1"/>
    </xf>
    <xf numFmtId="9" fontId="0" fillId="3" borderId="3" xfId="21" applyFont="1" applyFill="1" applyBorder="1" applyAlignment="1" applyProtection="1">
      <alignment horizontal="center"/>
      <protection hidden="1"/>
    </xf>
    <xf numFmtId="164" fontId="0" fillId="5" borderId="0" xfId="0" applyNumberFormat="1" applyFont="1" applyFill="1" applyBorder="1" applyAlignment="1" applyProtection="1">
      <alignment horizontal="center"/>
      <protection hidden="1"/>
    </xf>
    <xf numFmtId="164" fontId="0" fillId="3" borderId="21" xfId="0" applyNumberFormat="1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0" fillId="3" borderId="16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17" xfId="0" applyFont="1" applyFill="1" applyBorder="1" applyAlignment="1" applyProtection="1">
      <alignment horizontal="center"/>
      <protection hidden="1"/>
    </xf>
    <xf numFmtId="2" fontId="0" fillId="3" borderId="17" xfId="0" applyNumberFormat="1" applyFont="1" applyFill="1" applyBorder="1" applyAlignment="1" applyProtection="1">
      <alignment horizontal="center"/>
      <protection hidden="1"/>
    </xf>
    <xf numFmtId="2" fontId="0" fillId="3" borderId="14" xfId="0" applyNumberFormat="1" applyFont="1" applyFill="1" applyBorder="1" applyAlignment="1" applyProtection="1">
      <alignment horizontal="center"/>
      <protection hidden="1"/>
    </xf>
    <xf numFmtId="2" fontId="0" fillId="3" borderId="5" xfId="0" applyNumberFormat="1" applyFont="1" applyFill="1" applyBorder="1" applyAlignment="1" applyProtection="1">
      <alignment horizontal="center"/>
      <protection hidden="1"/>
    </xf>
    <xf numFmtId="0" fontId="21" fillId="3" borderId="4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 horizontal="center"/>
      <protection hidden="1" locked="0"/>
    </xf>
    <xf numFmtId="2" fontId="0" fillId="3" borderId="4" xfId="0" applyNumberFormat="1" applyFont="1" applyFill="1" applyBorder="1" applyAlignment="1" applyProtection="1">
      <alignment horizontal="center"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2" fontId="0" fillId="3" borderId="13" xfId="0" applyNumberFormat="1" applyFont="1" applyFill="1" applyBorder="1" applyAlignment="1" applyProtection="1">
      <alignment horizontal="center"/>
      <protection hidden="1"/>
    </xf>
    <xf numFmtId="9" fontId="0" fillId="3" borderId="24" xfId="21" applyFont="1" applyFill="1" applyBorder="1" applyAlignment="1" applyProtection="1">
      <alignment horizontal="center"/>
      <protection hidden="1"/>
    </xf>
    <xf numFmtId="9" fontId="0" fillId="3" borderId="25" xfId="21" applyFont="1" applyFill="1" applyBorder="1" applyAlignment="1" applyProtection="1">
      <alignment horizontal="center"/>
      <protection hidden="1"/>
    </xf>
    <xf numFmtId="164" fontId="0" fillId="3" borderId="25" xfId="0" applyNumberFormat="1" applyFont="1" applyFill="1" applyBorder="1" applyAlignment="1" applyProtection="1">
      <alignment horizontal="center"/>
      <protection hidden="1"/>
    </xf>
    <xf numFmtId="1" fontId="0" fillId="3" borderId="25" xfId="0" applyNumberFormat="1" applyFont="1" applyFill="1" applyBorder="1" applyAlignment="1" applyProtection="1">
      <alignment horizontal="center"/>
      <protection hidden="1"/>
    </xf>
    <xf numFmtId="1" fontId="0" fillId="3" borderId="26" xfId="0" applyNumberFormat="1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Alignment="1" applyProtection="1">
      <alignment/>
      <protection hidden="1"/>
    </xf>
    <xf numFmtId="1" fontId="0" fillId="2" borderId="0" xfId="0" applyNumberFormat="1" applyFont="1" applyFill="1" applyAlignment="1" applyProtection="1">
      <alignment horizontal="right"/>
      <protection hidden="1"/>
    </xf>
    <xf numFmtId="1" fontId="3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1" fontId="0" fillId="2" borderId="0" xfId="0" applyNumberFormat="1" applyFill="1" applyAlignment="1" applyProtection="1">
      <alignment/>
      <protection hidden="1"/>
    </xf>
    <xf numFmtId="1" fontId="0" fillId="2" borderId="0" xfId="0" applyNumberFormat="1" applyFont="1" applyFill="1" applyAlignment="1" applyProtection="1">
      <alignment horizontal="left"/>
      <protection hidden="1"/>
    </xf>
    <xf numFmtId="1" fontId="7" fillId="2" borderId="0" xfId="0" applyNumberFormat="1" applyFont="1" applyFill="1" applyAlignment="1" applyProtection="1">
      <alignment horizontal="right"/>
      <protection hidden="1"/>
    </xf>
    <xf numFmtId="1" fontId="3" fillId="2" borderId="0" xfId="0" applyNumberFormat="1" applyFont="1" applyFill="1" applyAlignment="1" applyProtection="1">
      <alignment horizontal="left"/>
      <protection hidden="1"/>
    </xf>
    <xf numFmtId="1" fontId="0" fillId="2" borderId="0" xfId="0" applyNumberFormat="1" applyFill="1" applyAlignment="1" applyProtection="1">
      <alignment horizontal="left"/>
      <protection hidden="1"/>
    </xf>
    <xf numFmtId="1" fontId="3" fillId="2" borderId="0" xfId="0" applyNumberFormat="1" applyFont="1" applyFill="1" applyAlignment="1" applyProtection="1">
      <alignment horizontal="center" textRotation="90"/>
      <protection hidden="1"/>
    </xf>
    <xf numFmtId="0" fontId="0" fillId="2" borderId="0" xfId="0" applyFill="1" applyAlignment="1" applyProtection="1">
      <alignment/>
      <protection hidden="1"/>
    </xf>
    <xf numFmtId="164" fontId="0" fillId="2" borderId="0" xfId="0" applyNumberFormat="1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Alignment="1" applyProtection="1">
      <alignment horizontal="right"/>
      <protection hidden="1"/>
    </xf>
    <xf numFmtId="1" fontId="12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8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Elevator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775"/>
          <c:w val="0.924"/>
          <c:h val="0.8225"/>
        </c:manualLayout>
      </c:layout>
      <c:scatterChart>
        <c:scatterStyle val="smooth"/>
        <c:varyColors val="0"/>
        <c:ser>
          <c:idx val="0"/>
          <c:order val="0"/>
          <c:tx>
            <c:strRef>
              <c:f>'Simple Setup'!$Y$3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Setup'!$P$13:$P$19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Setup'!$Y$13:$Y$19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'Simple Setup'!$W$3</c:f>
              <c:strCache>
                <c:ptCount val="1"/>
                <c:pt idx="0">
                  <c:v>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Setup'!$P$13:$P$19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Setup'!$W$13:$W$19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'Simple Setup'!$U$3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Setup'!$P$13:$P$19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Setup'!$U$13:$U$19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9367211"/>
        <c:axId val="40087172"/>
      </c:scatterChart>
      <c:valAx>
        <c:axId val="193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crossBetween val="midCat"/>
        <c:dispUnits/>
      </c:valAx>
      <c:valAx>
        <c:axId val="40087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67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"/>
          <c:w val="0.939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Differential'!$AX$6:$AX$13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Differential'!$AW$6:$AW$13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Differential'!$AZ$6:$AZ$13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Differential'!$AY$6:$AY$13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4616053"/>
        <c:axId val="43109022"/>
      </c:scatterChart>
      <c:valAx>
        <c:axId val="346160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crossBetween val="midCat"/>
        <c:dispUnits/>
      </c:valAx>
      <c:val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Trailing edge deflection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6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Differential'!$AX$14:$AX$21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Differential'!$AW$14:$AW$21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Differential'!$AZ$14:$AZ$21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Differential'!$AY$14:$AY$21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2436879"/>
        <c:axId val="2169864"/>
      </c:scatterChart>
      <c:valAx>
        <c:axId val="524368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9864"/>
        <c:crosses val="autoZero"/>
        <c:crossBetween val="midCat"/>
        <c:dispUnits/>
      </c:valAx>
      <c:valAx>
        <c:axId val="2169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6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075"/>
        </c:manualLayout>
      </c:layout>
      <c:scatterChart>
        <c:scatterStyle val="smooth"/>
        <c:varyColors val="0"/>
        <c:ser>
          <c:idx val="0"/>
          <c:order val="0"/>
          <c:tx>
            <c:v>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Differential'!$AX$22:$AX$29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Differential'!$AW$22:$AW$29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Differential'!$AZ$22:$AZ$29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Differential'!$AY$22:$AY$29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9528777"/>
        <c:axId val="41541266"/>
      </c:scatterChart>
      <c:valAx>
        <c:axId val="195287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or (no-expo) Stick deflection (%)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crossBetween val="midCat"/>
        <c:dispUnits/>
      </c:valAx>
      <c:valAx>
        <c:axId val="41541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5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ServoPlus!$AT$8:$AT$10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ServoPlus!$AU$8:$AU$10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ServoPlus!$AV$8:$AV$10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ServoPlus!$AW$8:$AW$10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ServoPlus!$AR$8:$AR$10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ServoPlus!$AS$8:$AS$10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3"/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ServoPlus!$AX$8:$AX$10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ServoPlus!$AY$8:$AY$10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4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3175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ServoPlus!$AV$4:$AV$7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ServoPlus!$AW$4:$AW$7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5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ServoPlus!$AT$4:$AT$7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ServoPlus!$AU$4:$AU$7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ServoPlus!$AR$4:$AR$7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ServoPlus!$AS$4:$AS$7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12700">
                <a:solidFill>
                  <a:srgbClr val="FFFF00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FF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ServoPlus!$AX$4:$AX$7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ServoPlus!$AY$4:$AY$7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ServoPlus!$AR$11:$AR$12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ServoPlus!$AS$11:$AS$12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8327075"/>
        <c:axId val="9399356"/>
      </c:scatterChart>
      <c:valAx>
        <c:axId val="38327075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99356"/>
        <c:crosses val="autoZero"/>
        <c:crossBetween val="midCat"/>
        <c:dispUnits/>
      </c:valAx>
      <c:valAx>
        <c:axId val="9399356"/>
        <c:scaling>
          <c:orientation val="minMax"/>
          <c:max val="9.999999999999998"/>
          <c:min val="-9.99999999999999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327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ServoPlus!$AL$6:$AL$16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ServoPlus!$AM$6:$AM$16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ServoPlus!$AL$16:$AL$26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ServoPlus!$AM$16:$AM$26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ServoPlus!$AL$5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ServoPlus!$AM$5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7485341"/>
        <c:axId val="23150342"/>
      </c:scatterChart>
      <c:val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50342"/>
        <c:crosses val="autoZero"/>
        <c:crossBetween val="midCat"/>
        <c:dispUnits/>
      </c:valAx>
      <c:valAx>
        <c:axId val="231503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485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ServoPlus!$AL$6:$AL$16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ServoPlus!$AN$6:$AN$16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ServoPlus!$AL$16:$AL$26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ServoPlus!$AN$16:$AN$26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ServoPlus!$AL$5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ServoPlus!$AN$5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7026487"/>
        <c:axId val="63238384"/>
      </c:scatterChart>
      <c:val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38384"/>
        <c:crosses val="autoZero"/>
        <c:crossBetween val="midCat"/>
        <c:dispUnits/>
      </c:valAx>
      <c:valAx>
        <c:axId val="632383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7026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ServoPlus!$AL$6:$AL$16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ServoPlus!$AO$6:$AO$16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ServoPlus!$AL$16:$AL$26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ServoPlus!$AO$16:$AO$26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ServoPlus!$AL$5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ServoPlus!$AO$5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2274545"/>
        <c:axId val="22035450"/>
      </c:scatterChart>
      <c:val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Control surface deflection (degrees)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35450"/>
        <c:crosses val="autoZero"/>
        <c:crossBetween val="midCat"/>
        <c:dispUnits/>
      </c:valAx>
      <c:valAx>
        <c:axId val="220354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274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smooth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ServoPlus!$AJ$6:$AJ$16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ServoPlus!$AL$6:$AL$16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ServoPlus!$AJ$16:$AJ$26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ServoPlus!$AL$16:$AL$26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ServoPlus!$AJ$5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ServoPlus!$AL$5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4101323"/>
        <c:axId val="40040996"/>
      </c:scatterChart>
      <c:valAx>
        <c:axId val="64101323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low"/>
        <c:crossAx val="40040996"/>
        <c:crosses val="autoZero"/>
        <c:crossBetween val="midCat"/>
        <c:dispUnits/>
        <c:majorUnit val="0.25"/>
      </c:valAx>
      <c:valAx>
        <c:axId val="4004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Control deflection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(degrees)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64101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smooth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ServoPlus!$AJ$6:$AJ$16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ServoPlus!$AK$6:$AK$16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Negative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ServoPlus!$AJ$16:$AJ$26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ServoPlus!$AK$16:$AK$26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Current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ServoPlus!$AJ$5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ServoPlus!$AK$5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4824645"/>
        <c:axId val="22095214"/>
      </c:scatterChart>
      <c:valAx>
        <c:axId val="24824645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low"/>
        <c:crossAx val="22095214"/>
        <c:crosses val="autoZero"/>
        <c:crossBetween val="midCat"/>
        <c:dispUnits/>
        <c:majorUnit val="0.25"/>
      </c:valAx>
      <c:valAx>
        <c:axId val="2209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Trailing edge deflection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crossAx val="24824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5"/>
          <c:h val="0.95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ServoPlus!$AQ$16:$AQ$26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ServoPlus!$AR$16:$AR$26</c:f>
              <c:numCache>
                <c:ptCount val="11"/>
                <c:pt idx="0">
                  <c:v>0</c:v>
                </c:pt>
                <c:pt idx="1">
                  <c:v>0.010804657084424907</c:v>
                </c:pt>
                <c:pt idx="2">
                  <c:v>0.04222652122677406</c:v>
                </c:pt>
                <c:pt idx="3">
                  <c:v>0.0911952201840851</c:v>
                </c:pt>
                <c:pt idx="4">
                  <c:v>0.1522752213464802</c:v>
                </c:pt>
                <c:pt idx="5">
                  <c:v>0.21717310478436502</c:v>
                </c:pt>
                <c:pt idx="6">
                  <c:v>0.2740221899290134</c:v>
                </c:pt>
                <c:pt idx="7">
                  <c:v>0.30643372385670986</c:v>
                </c:pt>
                <c:pt idx="8">
                  <c:v>0.29232934974623603</c:v>
                </c:pt>
                <c:pt idx="9">
                  <c:v>0.20263053629614802</c:v>
                </c:pt>
                <c:pt idx="10">
                  <c:v>1.7763568394002505E-14</c:v>
                </c:pt>
              </c:numCache>
            </c:numRef>
          </c:yVal>
          <c:smooth val="1"/>
        </c:ser>
        <c:axId val="64639199"/>
        <c:axId val="44881880"/>
      </c:scatterChart>
      <c:valAx>
        <c:axId val="6463919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Stick position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881880"/>
        <c:crosses val="autoZero"/>
        <c:crossBetween val="midCat"/>
        <c:dispUnits/>
        <c:majorUnit val="0.25"/>
      </c:valAx>
      <c:valAx>
        <c:axId val="4488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"play"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(degrees)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39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Aileron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775"/>
          <c:w val="0.924"/>
          <c:h val="0.8225"/>
        </c:manualLayout>
      </c:layout>
      <c:scatterChart>
        <c:scatterStyle val="smooth"/>
        <c:varyColors val="0"/>
        <c:ser>
          <c:idx val="0"/>
          <c:order val="0"/>
          <c:tx>
            <c:strRef>
              <c:f>'Simple Setup'!$Y$3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Setup'!$P$6:$P$12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Setup'!$Y$6:$Y$12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'Simple Setup'!$W$3</c:f>
              <c:strCache>
                <c:ptCount val="1"/>
                <c:pt idx="0">
                  <c:v>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Setup'!$P$6:$P$12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Setup'!$W$6:$W$12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'Simple Setup'!$U$3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Setup'!$P$6:$P$12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Setup'!$U$6:$U$12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5240229"/>
        <c:axId val="25835470"/>
      </c:scatterChart>
      <c:valAx>
        <c:axId val="25240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35470"/>
        <c:crosses val="autoZero"/>
        <c:crossBetween val="midCat"/>
        <c:dispUnits/>
      </c:valAx>
      <c:valAx>
        <c:axId val="25835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40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94475"/>
          <c:h val="0.95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ServoPlus!$AQ$16:$AQ$26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ServoPlus!$AS$16:$AS$26</c:f>
              <c:numCache>
                <c:ptCount val="11"/>
                <c:pt idx="0">
                  <c:v>0</c:v>
                </c:pt>
                <c:pt idx="1">
                  <c:v>0.006661891597167259</c:v>
                </c:pt>
                <c:pt idx="2">
                  <c:v>0.026021012044708615</c:v>
                </c:pt>
                <c:pt idx="3">
                  <c:v>0.05569315549543037</c:v>
                </c:pt>
                <c:pt idx="4">
                  <c:v>0.091391619237561</c:v>
                </c:pt>
                <c:pt idx="5">
                  <c:v>0.12701251223394608</c:v>
                </c:pt>
                <c:pt idx="6">
                  <c:v>0.15481184713229923</c:v>
                </c:pt>
                <c:pt idx="7">
                  <c:v>0.1657214766362797</c:v>
                </c:pt>
                <c:pt idx="8">
                  <c:v>0.1498770188125599</c:v>
                </c:pt>
                <c:pt idx="9">
                  <c:v>0.0974617583322706</c:v>
                </c:pt>
                <c:pt idx="10">
                  <c:v>7.922973385546289E-15</c:v>
                </c:pt>
              </c:numCache>
            </c:numRef>
          </c:yVal>
          <c:smooth val="1"/>
        </c:ser>
        <c:axId val="1283737"/>
        <c:axId val="11553634"/>
      </c:scatterChart>
      <c:valAx>
        <c:axId val="128373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Stick position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553634"/>
        <c:crosses val="autoZero"/>
        <c:crossBetween val="midCat"/>
        <c:dispUnits/>
        <c:majorUnit val="0.25"/>
      </c:valAx>
      <c:valAx>
        <c:axId val="1155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Maximum cable slack </a:t>
                </a:r>
                <a:r>
                  <a:rPr lang="en-US" cap="none" sz="800" b="0" i="0" u="sng" baseline="0">
                    <a:latin typeface="Arial"/>
                    <a:ea typeface="Arial"/>
                    <a:cs typeface="Arial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3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Rudder Torque (oz-in) vs. Deflection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775"/>
          <c:w val="0.924"/>
          <c:h val="0.8225"/>
        </c:manualLayout>
      </c:layout>
      <c:scatterChart>
        <c:scatterStyle val="smooth"/>
        <c:varyColors val="0"/>
        <c:ser>
          <c:idx val="0"/>
          <c:order val="0"/>
          <c:tx>
            <c:strRef>
              <c:f>'Simple Setup'!$Y$3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Setup'!$P$20:$P$26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Setup'!$Y$20:$Y$26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'Simple Setup'!$W$3</c:f>
              <c:strCache>
                <c:ptCount val="1"/>
                <c:pt idx="0">
                  <c:v>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Setup'!$P$20:$P$26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Setup'!$W$20:$W$26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'Simple Setup'!$U$3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Setup'!$P$20:$P$26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'Simple Setup'!$U$20:$U$26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1192639"/>
        <c:axId val="12298296"/>
      </c:scatterChart>
      <c:valAx>
        <c:axId val="3119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98296"/>
        <c:crosses val="autoZero"/>
        <c:crossBetween val="midCat"/>
        <c:dispUnits/>
      </c:valAx>
      <c:valAx>
        <c:axId val="12298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25"/>
          <c:y val="0.08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85"/>
          <c:w val="0.9325"/>
          <c:h val="0.865"/>
        </c:manualLayout>
      </c:layout>
      <c:scatterChart>
        <c:scatterStyle val="smooth"/>
        <c:varyColors val="0"/>
        <c:ser>
          <c:idx val="0"/>
          <c:order val="0"/>
          <c:tx>
            <c:v>Rudder+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Differential'!$Q$22:$Q$29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Differential'!$Z$22:$Z$29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Rudder-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Differential'!$AC$22:$AC$29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Differential'!$AL$22:$AL$29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3575801"/>
        <c:axId val="56637890"/>
      </c:scatterChart>
      <c:valAx>
        <c:axId val="4357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37890"/>
        <c:crosses val="autoZero"/>
        <c:crossBetween val="midCat"/>
        <c:dispUnits/>
      </c:valAx>
      <c:valAx>
        <c:axId val="56637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5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25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85"/>
          <c:w val="0.9325"/>
          <c:h val="0.865"/>
        </c:manualLayout>
      </c:layout>
      <c:scatterChart>
        <c:scatterStyle val="smooth"/>
        <c:varyColors val="0"/>
        <c:ser>
          <c:idx val="0"/>
          <c:order val="0"/>
          <c:tx>
            <c:v>Elevator+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Differential'!$Q$14:$Q$21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Differential'!$Z$14:$Z$21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Elevator-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Differential'!$AC$14:$AC$21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Differential'!$AL$14:$AL$21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9978963"/>
        <c:axId val="24266348"/>
      </c:scatterChart>
      <c:valAx>
        <c:axId val="3997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6348"/>
        <c:crosses val="autoZero"/>
        <c:crossBetween val="midCat"/>
        <c:dispUnits/>
      </c:valAx>
      <c:valAx>
        <c:axId val="24266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42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'Offset &amp; Differential'!$AO$16:$AO$19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Differential'!$AR$16:$AR$19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'Offset &amp; Differential'!$AO$23:$AO$26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Differential'!$AR$23:$AR$26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Differential'!$AO$20:$AO$21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Differential'!$AR$20:$AR$21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Differential'!$AO$27:$AO$28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Differential'!$AR$27:$AR$28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'Offset &amp; Differential'!$AO$13:$AO$14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Differential'!$AR$13:$AR$14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'Offset &amp; Differential'!$AO$9:$AO$12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Differential'!$AR$9:$AR$12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070541"/>
        <c:axId val="19417142"/>
      </c:scatterChart>
      <c:valAx>
        <c:axId val="17070541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19417142"/>
        <c:crosses val="autoZero"/>
        <c:crossBetween val="midCat"/>
        <c:dispUnits/>
        <c:majorUnit val="2"/>
      </c:valAx>
      <c:valAx>
        <c:axId val="1941714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Control Geometry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070541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'Offset &amp; Differential'!$AP$16:$AP$19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Differential'!$AS$16:$AS$19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'Offset &amp; Differential'!$AP$23:$AP$26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Differential'!$AS$23:$AS$26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Differential'!$AP$20:$AP$21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Differential'!$AS$20:$AS$21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Differential'!$AP$27:$AP$28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Differential'!$AS$27:$AS$28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'Offset &amp; Differential'!$AP$13:$AP$14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Differential'!$AS$13:$AS$14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'Offset &amp; Differential'!$AP$9:$AP$12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Differential'!$AS$9:$AS$12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0536551"/>
        <c:axId val="29284640"/>
      </c:scatterChart>
      <c:valAx>
        <c:axId val="40536551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29284640"/>
        <c:crosses val="autoZero"/>
        <c:crossBetween val="midCat"/>
        <c:dispUnits/>
        <c:majorUnit val="2"/>
      </c:valAx>
      <c:valAx>
        <c:axId val="29284640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40536551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'Offset &amp; Differential'!$AQ$16:$AQ$19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Differential'!$AT$16:$AT$19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'Offset &amp; Differential'!$AQ$23:$AQ$26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Differential'!$AT$23:$AT$26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Differential'!$AQ$20:$AQ$21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Differential'!$AT$20:$AT$21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Differential'!$AQ$27:$AQ$28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Differential'!$AT$27:$AT$28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'Offset &amp; Differential'!$AQ$13:$AQ$14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'Offset &amp; Differential'!$AT$13:$AT$14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'Offset &amp; Differential'!$AQ$9:$AQ$12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'Offset &amp; Differential'!$AT$9:$AT$12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2235169"/>
        <c:axId val="23245610"/>
      </c:scatterChart>
      <c:valAx>
        <c:axId val="62235169"/>
        <c:scaling>
          <c:orientation val="minMax"/>
          <c:max val="22"/>
          <c:min val="0"/>
        </c:scaling>
        <c:axPos val="b"/>
        <c:delete val="1"/>
        <c:majorTickMark val="out"/>
        <c:minorTickMark val="none"/>
        <c:tickLblPos val="nextTo"/>
        <c:crossAx val="23245610"/>
        <c:crosses val="autoZero"/>
        <c:crossBetween val="midCat"/>
        <c:dispUnits/>
        <c:majorUnit val="2"/>
      </c:valAx>
      <c:valAx>
        <c:axId val="23245610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62235169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685"/>
          <c:w val="0.88675"/>
          <c:h val="0.86225"/>
        </c:manualLayout>
      </c:layout>
      <c:scatterChart>
        <c:scatterStyle val="smooth"/>
        <c:varyColors val="0"/>
        <c:ser>
          <c:idx val="0"/>
          <c:order val="0"/>
          <c:tx>
            <c:v>Aileron+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Differential'!$Q$6:$Q$13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Differential'!$Z$6:$Z$13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Aileron-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'Offset &amp; Differential'!$AC$6:$AC$13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'Offset &amp; Differential'!$AL$6:$AL$13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7883899"/>
        <c:axId val="3846228"/>
      </c:scatterChart>
      <c:val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Surface Deflection (degrees)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46228"/>
        <c:crosses val="autoZero"/>
        <c:crossBetween val="midCat"/>
        <c:dispUnits/>
      </c:val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Servo Torque (oz-in) @ Max Speed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883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762250" y="1971675"/>
        <a:ext cx="2590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71450" y="1971675"/>
        <a:ext cx="2590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5353050" y="1971675"/>
        <a:ext cx="25908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086475" y="3114675"/>
        <a:ext cx="28575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228975" y="3114675"/>
        <a:ext cx="28575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16"/>
        <xdr:cNvGraphicFramePr/>
      </xdr:nvGraphicFramePr>
      <xdr:xfrm>
        <a:off x="180975" y="5410200"/>
        <a:ext cx="304800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10</xdr:col>
      <xdr:colOff>0</xdr:colOff>
      <xdr:row>34</xdr:row>
      <xdr:rowOff>0</xdr:rowOff>
    </xdr:to>
    <xdr:graphicFrame>
      <xdr:nvGraphicFramePr>
        <xdr:cNvPr id="4" name="Chart 17"/>
        <xdr:cNvGraphicFramePr/>
      </xdr:nvGraphicFramePr>
      <xdr:xfrm>
        <a:off x="3228975" y="5410200"/>
        <a:ext cx="2857500" cy="129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5" name="Chart 18"/>
        <xdr:cNvGraphicFramePr/>
      </xdr:nvGraphicFramePr>
      <xdr:xfrm>
        <a:off x="6086475" y="5410200"/>
        <a:ext cx="2857500" cy="1295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6" name="Chart 19"/>
        <xdr:cNvGraphicFramePr/>
      </xdr:nvGraphicFramePr>
      <xdr:xfrm>
        <a:off x="180975" y="3114675"/>
        <a:ext cx="30480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7" name="Chart 20"/>
        <xdr:cNvGraphicFramePr/>
      </xdr:nvGraphicFramePr>
      <xdr:xfrm>
        <a:off x="180975" y="6705600"/>
        <a:ext cx="3048000" cy="1838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8" name="Chart 21"/>
        <xdr:cNvGraphicFramePr/>
      </xdr:nvGraphicFramePr>
      <xdr:xfrm>
        <a:off x="3228975" y="6705600"/>
        <a:ext cx="2857500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14</xdr:col>
      <xdr:colOff>0</xdr:colOff>
      <xdr:row>35</xdr:row>
      <xdr:rowOff>0</xdr:rowOff>
    </xdr:to>
    <xdr:graphicFrame>
      <xdr:nvGraphicFramePr>
        <xdr:cNvPr id="9" name="Chart 22"/>
        <xdr:cNvGraphicFramePr/>
      </xdr:nvGraphicFramePr>
      <xdr:xfrm>
        <a:off x="6086475" y="6705600"/>
        <a:ext cx="2857500" cy="183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200025</xdr:colOff>
      <xdr:row>3</xdr:row>
      <xdr:rowOff>0</xdr:rowOff>
    </xdr:from>
    <xdr:to>
      <xdr:col>13</xdr:col>
      <xdr:colOff>676275</xdr:colOff>
      <xdr:row>12</xdr:row>
      <xdr:rowOff>76200</xdr:rowOff>
    </xdr:to>
    <xdr:grpSp>
      <xdr:nvGrpSpPr>
        <xdr:cNvPr id="10" name="Group 23"/>
        <xdr:cNvGrpSpPr>
          <a:grpSpLocks/>
        </xdr:cNvGrpSpPr>
      </xdr:nvGrpSpPr>
      <xdr:grpSpPr>
        <a:xfrm>
          <a:off x="6286500" y="495300"/>
          <a:ext cx="2619375" cy="1543050"/>
          <a:chOff x="660" y="52"/>
          <a:chExt cx="275" cy="162"/>
        </a:xfrm>
        <a:solidFill>
          <a:srgbClr val="FFFFFF"/>
        </a:solidFill>
      </xdr:grpSpPr>
      <xdr:sp>
        <xdr:nvSpPr>
          <xdr:cNvPr id="11" name="Rectangle 24"/>
          <xdr:cNvSpPr>
            <a:spLocks/>
          </xdr:cNvSpPr>
        </xdr:nvSpPr>
        <xdr:spPr>
          <a:xfrm>
            <a:off x="660" y="52"/>
            <a:ext cx="275" cy="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25"/>
          <xdr:cNvGrpSpPr>
            <a:grpSpLocks/>
          </xdr:cNvGrpSpPr>
        </xdr:nvGrpSpPr>
        <xdr:grpSpPr>
          <a:xfrm>
            <a:off x="716" y="83"/>
            <a:ext cx="212" cy="36"/>
            <a:chOff x="685" y="102"/>
            <a:chExt cx="180" cy="34"/>
          </a:xfrm>
          <a:solidFill>
            <a:srgbClr val="FFFFFF"/>
          </a:solidFill>
        </xdr:grpSpPr>
        <xdr:sp>
          <xdr:nvSpPr>
            <xdr:cNvPr id="13" name="Line 26"/>
            <xdr:cNvSpPr>
              <a:spLocks/>
            </xdr:cNvSpPr>
          </xdr:nvSpPr>
          <xdr:spPr>
            <a:xfrm flipV="1">
              <a:off x="685" y="102"/>
              <a:ext cx="3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7"/>
            <xdr:cNvSpPr>
              <a:spLocks/>
            </xdr:cNvSpPr>
          </xdr:nvSpPr>
          <xdr:spPr>
            <a:xfrm>
              <a:off x="715" y="102"/>
              <a:ext cx="15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8"/>
            <xdr:cNvSpPr>
              <a:spLocks/>
            </xdr:cNvSpPr>
          </xdr:nvSpPr>
          <xdr:spPr>
            <a:xfrm>
              <a:off x="685" y="119"/>
              <a:ext cx="3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9"/>
            <xdr:cNvSpPr>
              <a:spLocks/>
            </xdr:cNvSpPr>
          </xdr:nvSpPr>
          <xdr:spPr>
            <a:xfrm flipV="1">
              <a:off x="715" y="136"/>
              <a:ext cx="15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30"/>
            <xdr:cNvSpPr>
              <a:spLocks/>
            </xdr:cNvSpPr>
          </xdr:nvSpPr>
          <xdr:spPr>
            <a:xfrm>
              <a:off x="865" y="102"/>
              <a:ext cx="0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31"/>
          <xdr:cNvGrpSpPr>
            <a:grpSpLocks/>
          </xdr:cNvGrpSpPr>
        </xdr:nvGrpSpPr>
        <xdr:grpSpPr>
          <a:xfrm>
            <a:off x="787" y="119"/>
            <a:ext cx="36" cy="76"/>
            <a:chOff x="745" y="136"/>
            <a:chExt cx="30" cy="68"/>
          </a:xfrm>
          <a:solidFill>
            <a:srgbClr val="FFFFFF"/>
          </a:solidFill>
        </xdr:grpSpPr>
        <xdr:sp>
          <xdr:nvSpPr>
            <xdr:cNvPr id="19" name="Line 32"/>
            <xdr:cNvSpPr>
              <a:spLocks/>
            </xdr:cNvSpPr>
          </xdr:nvSpPr>
          <xdr:spPr>
            <a:xfrm>
              <a:off x="745" y="136"/>
              <a:ext cx="0" cy="6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 flipV="1">
              <a:off x="745" y="136"/>
              <a:ext cx="30" cy="6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" name="Line 34"/>
          <xdr:cNvSpPr>
            <a:spLocks/>
          </xdr:cNvSpPr>
        </xdr:nvSpPr>
        <xdr:spPr>
          <a:xfrm flipH="1">
            <a:off x="678" y="195"/>
            <a:ext cx="10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>
            <a:off x="858" y="100"/>
            <a:ext cx="0" cy="95"/>
          </a:xfrm>
          <a:prstGeom prst="line">
            <a:avLst/>
          </a:prstGeom>
          <a:noFill/>
          <a:ln w="12700" cmpd="sng">
            <a:solidFill>
              <a:srgbClr val="0000FF"/>
            </a:solidFill>
            <a:prstDash val="sysDash"/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6"/>
          <xdr:cNvSpPr>
            <a:spLocks/>
          </xdr:cNvSpPr>
        </xdr:nvSpPr>
        <xdr:spPr>
          <a:xfrm>
            <a:off x="716" y="63"/>
            <a:ext cx="71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prstDash val="sysDash"/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37"/>
          <xdr:cNvSpPr txBox="1">
            <a:spLocks noChangeArrowheads="1"/>
          </xdr:cNvSpPr>
        </xdr:nvSpPr>
        <xdr:spPr>
          <a:xfrm>
            <a:off x="749" y="63"/>
            <a:ext cx="2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5" name="TextBox 38"/>
          <xdr:cNvSpPr txBox="1">
            <a:spLocks noChangeArrowheads="1"/>
          </xdr:cNvSpPr>
        </xdr:nvSpPr>
        <xdr:spPr>
          <a:xfrm>
            <a:off x="836" y="139"/>
            <a:ext cx="1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6" name="TextBox 39"/>
          <xdr:cNvSpPr txBox="1">
            <a:spLocks noChangeArrowheads="1"/>
          </xdr:cNvSpPr>
        </xdr:nvSpPr>
        <xdr:spPr>
          <a:xfrm>
            <a:off x="710" y="196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Pushrod</a:t>
            </a:r>
          </a:p>
        </xdr:txBody>
      </xdr:sp>
      <xdr:sp>
        <xdr:nvSpPr>
          <xdr:cNvPr id="27" name="TextBox 40"/>
          <xdr:cNvSpPr txBox="1">
            <a:spLocks noChangeArrowheads="1"/>
          </xdr:cNvSpPr>
        </xdr:nvSpPr>
        <xdr:spPr>
          <a:xfrm>
            <a:off x="735" y="92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Control Surface</a:t>
            </a:r>
          </a:p>
        </xdr:txBody>
      </xdr:sp>
      <xdr:sp>
        <xdr:nvSpPr>
          <xdr:cNvPr id="28" name="TextBox 41"/>
          <xdr:cNvSpPr txBox="1">
            <a:spLocks noChangeArrowheads="1"/>
          </xdr:cNvSpPr>
        </xdr:nvSpPr>
        <xdr:spPr>
          <a:xfrm>
            <a:off x="764" y="169"/>
            <a:ext cx="2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29" name="Oval 42"/>
          <xdr:cNvSpPr>
            <a:spLocks/>
          </xdr:cNvSpPr>
        </xdr:nvSpPr>
        <xdr:spPr>
          <a:xfrm>
            <a:off x="711" y="96"/>
            <a:ext cx="12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43"/>
          <xdr:cNvSpPr txBox="1">
            <a:spLocks noChangeArrowheads="1"/>
          </xdr:cNvSpPr>
        </xdr:nvSpPr>
        <xdr:spPr>
          <a:xfrm>
            <a:off x="663" y="91"/>
            <a:ext cx="4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Hinge</a:t>
            </a:r>
          </a:p>
        </xdr:txBody>
      </xdr:sp>
      <xdr:sp>
        <xdr:nvSpPr>
          <xdr:cNvPr id="31" name="Arc 44"/>
          <xdr:cNvSpPr>
            <a:spLocks/>
          </xdr:cNvSpPr>
        </xdr:nvSpPr>
        <xdr:spPr>
          <a:xfrm flipH="1">
            <a:off x="756" y="157"/>
            <a:ext cx="31" cy="38"/>
          </a:xfrm>
          <a:prstGeom prst="arc">
            <a:avLst/>
          </a:prstGeom>
          <a:noFill/>
          <a:ln w="9525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8</xdr:col>
      <xdr:colOff>0</xdr:colOff>
      <xdr:row>16</xdr:row>
      <xdr:rowOff>0</xdr:rowOff>
    </xdr:to>
    <xdr:graphicFrame macro="[0]!setaxes">
      <xdr:nvGraphicFramePr>
        <xdr:cNvPr id="1" name="Chart 4"/>
        <xdr:cNvGraphicFramePr/>
      </xdr:nvGraphicFramePr>
      <xdr:xfrm>
        <a:off x="1657350" y="342900"/>
        <a:ext cx="4972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32</xdr:row>
      <xdr:rowOff>0</xdr:rowOff>
    </xdr:to>
    <xdr:graphicFrame macro="[0]!axiscondense">
      <xdr:nvGraphicFramePr>
        <xdr:cNvPr id="2" name="Chart 41"/>
        <xdr:cNvGraphicFramePr/>
      </xdr:nvGraphicFramePr>
      <xdr:xfrm>
        <a:off x="6629400" y="3086100"/>
        <a:ext cx="24860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32</xdr:row>
      <xdr:rowOff>0</xdr:rowOff>
    </xdr:to>
    <xdr:graphicFrame macro="[0]!axiscondense">
      <xdr:nvGraphicFramePr>
        <xdr:cNvPr id="3" name="Chart 42"/>
        <xdr:cNvGraphicFramePr/>
      </xdr:nvGraphicFramePr>
      <xdr:xfrm>
        <a:off x="4143375" y="3086100"/>
        <a:ext cx="24860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32</xdr:row>
      <xdr:rowOff>0</xdr:rowOff>
    </xdr:to>
    <xdr:graphicFrame macro="[0]!axiscondense">
      <xdr:nvGraphicFramePr>
        <xdr:cNvPr id="4" name="Chart 43"/>
        <xdr:cNvGraphicFramePr/>
      </xdr:nvGraphicFramePr>
      <xdr:xfrm>
        <a:off x="1657350" y="3086100"/>
        <a:ext cx="24860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[0]!tedef">
      <xdr:nvGraphicFramePr>
        <xdr:cNvPr id="5" name="Chart 56"/>
        <xdr:cNvGraphicFramePr/>
      </xdr:nvGraphicFramePr>
      <xdr:xfrm>
        <a:off x="6629400" y="342900"/>
        <a:ext cx="2486025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[0]!conrot">
      <xdr:nvGraphicFramePr>
        <xdr:cNvPr id="6" name="Chart 3"/>
        <xdr:cNvGraphicFramePr/>
      </xdr:nvGraphicFramePr>
      <xdr:xfrm>
        <a:off x="6629400" y="342900"/>
        <a:ext cx="24860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45</xdr:col>
      <xdr:colOff>0</xdr:colOff>
      <xdr:row>13</xdr:row>
      <xdr:rowOff>0</xdr:rowOff>
    </xdr:from>
    <xdr:to>
      <xdr:col>52</xdr:col>
      <xdr:colOff>0</xdr:colOff>
      <xdr:row>26</xdr:row>
      <xdr:rowOff>0</xdr:rowOff>
    </xdr:to>
    <xdr:graphicFrame macro="[0]!slack">
      <xdr:nvGraphicFramePr>
        <xdr:cNvPr id="7" name="Chart 58"/>
        <xdr:cNvGraphicFramePr/>
      </xdr:nvGraphicFramePr>
      <xdr:xfrm>
        <a:off x="13230225" y="2228850"/>
        <a:ext cx="2667000" cy="2228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45</xdr:col>
      <xdr:colOff>0</xdr:colOff>
      <xdr:row>13</xdr:row>
      <xdr:rowOff>0</xdr:rowOff>
    </xdr:from>
    <xdr:to>
      <xdr:col>52</xdr:col>
      <xdr:colOff>0</xdr:colOff>
      <xdr:row>26</xdr:row>
      <xdr:rowOff>0</xdr:rowOff>
    </xdr:to>
    <xdr:graphicFrame macro="[0]!play">
      <xdr:nvGraphicFramePr>
        <xdr:cNvPr id="8" name="Chart 55"/>
        <xdr:cNvGraphicFramePr/>
      </xdr:nvGraphicFramePr>
      <xdr:xfrm>
        <a:off x="13230225" y="2228850"/>
        <a:ext cx="2667000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J1:AK36"/>
  <sheetViews>
    <sheetView tabSelected="1" workbookViewId="0" topLeftCell="Q1">
      <selection activeCell="AA1" sqref="AA1:AI36"/>
    </sheetView>
  </sheetViews>
  <sheetFormatPr defaultColWidth="9.140625" defaultRowHeight="12.75"/>
  <cols>
    <col min="1" max="1" width="2.57421875" style="158" customWidth="1"/>
    <col min="2" max="13" width="9.7109375" style="158" customWidth="1"/>
    <col min="14" max="14" width="3.00390625" style="158" customWidth="1"/>
    <col min="15" max="15" width="9.7109375" style="158" bestFit="1" customWidth="1"/>
    <col min="16" max="16" width="7.28125" style="158" bestFit="1" customWidth="1"/>
    <col min="17" max="17" width="5.7109375" style="158" bestFit="1" customWidth="1"/>
    <col min="18" max="18" width="4.421875" style="158" customWidth="1"/>
    <col min="19" max="26" width="4.28125" style="158" customWidth="1"/>
    <col min="27" max="16384" width="9.140625" style="158" customWidth="1"/>
  </cols>
  <sheetData>
    <row r="1" spans="12:13" ht="13.5" thickBot="1">
      <c r="L1" s="4"/>
      <c r="M1" s="4"/>
    </row>
    <row r="2" spans="10:37" ht="12.75">
      <c r="J2" s="159" t="s">
        <v>86</v>
      </c>
      <c r="K2" s="89">
        <v>110</v>
      </c>
      <c r="O2" s="128" t="s">
        <v>165</v>
      </c>
      <c r="P2" s="129"/>
      <c r="Q2" s="129"/>
      <c r="R2" s="129"/>
      <c r="S2" s="129"/>
      <c r="T2" s="129"/>
      <c r="U2" s="129"/>
      <c r="V2" s="129"/>
      <c r="W2" s="129"/>
      <c r="X2" s="129"/>
      <c r="Y2" s="130"/>
      <c r="AA2" s="160" t="s">
        <v>145</v>
      </c>
      <c r="AB2" s="161"/>
      <c r="AC2" s="161"/>
      <c r="AD2" s="161"/>
      <c r="AE2" s="162"/>
      <c r="AF2" s="162"/>
      <c r="AG2" s="162"/>
      <c r="AH2" s="162"/>
      <c r="AI2" s="162"/>
      <c r="AJ2" s="162"/>
      <c r="AK2" s="162"/>
    </row>
    <row r="3" spans="10:37" ht="12.75">
      <c r="J3" s="159"/>
      <c r="K3" s="159"/>
      <c r="O3" s="97"/>
      <c r="P3" s="36"/>
      <c r="Q3" s="36"/>
      <c r="R3" s="98" t="s">
        <v>94</v>
      </c>
      <c r="S3" s="99">
        <f aca="true" t="shared" si="0" ref="S3:X3">T3-0.125*$Y$3</f>
        <v>27.5</v>
      </c>
      <c r="T3" s="99">
        <f t="shared" si="0"/>
        <v>41.25</v>
      </c>
      <c r="U3" s="99">
        <f t="shared" si="0"/>
        <v>55</v>
      </c>
      <c r="V3" s="99">
        <f t="shared" si="0"/>
        <v>68.75</v>
      </c>
      <c r="W3" s="99">
        <f t="shared" si="0"/>
        <v>82.5</v>
      </c>
      <c r="X3" s="99">
        <f t="shared" si="0"/>
        <v>96.25</v>
      </c>
      <c r="Y3" s="100">
        <f>$K$2</f>
        <v>110</v>
      </c>
      <c r="AA3" s="158" t="s">
        <v>179</v>
      </c>
      <c r="AB3" s="161"/>
      <c r="AC3" s="161"/>
      <c r="AD3" s="161"/>
      <c r="AE3" s="162"/>
      <c r="AF3" s="162"/>
      <c r="AG3" s="162"/>
      <c r="AH3" s="162"/>
      <c r="AI3" s="162"/>
      <c r="AJ3" s="162"/>
      <c r="AK3" s="162"/>
    </row>
    <row r="4" spans="10:37" ht="12.75">
      <c r="J4" s="159"/>
      <c r="K4" s="4" t="s">
        <v>91</v>
      </c>
      <c r="L4" s="4" t="s">
        <v>92</v>
      </c>
      <c r="M4" s="4" t="s">
        <v>93</v>
      </c>
      <c r="O4" s="97"/>
      <c r="P4" s="36" t="s">
        <v>103</v>
      </c>
      <c r="Q4" s="36" t="s">
        <v>104</v>
      </c>
      <c r="R4" s="98"/>
      <c r="S4" s="99"/>
      <c r="T4" s="99"/>
      <c r="U4" s="99"/>
      <c r="V4" s="99"/>
      <c r="W4" s="99"/>
      <c r="X4" s="99"/>
      <c r="Y4" s="100"/>
      <c r="AA4" s="163" t="s">
        <v>159</v>
      </c>
      <c r="AB4" s="161"/>
      <c r="AC4" s="161"/>
      <c r="AD4" s="161"/>
      <c r="AE4" s="162"/>
      <c r="AF4" s="162"/>
      <c r="AG4" s="162"/>
      <c r="AH4" s="162"/>
      <c r="AI4" s="162"/>
      <c r="AJ4" s="162"/>
      <c r="AK4" s="162"/>
    </row>
    <row r="5" spans="10:37" ht="13.5" thickBot="1">
      <c r="J5" s="159" t="s">
        <v>102</v>
      </c>
      <c r="K5" s="104">
        <v>7.6</v>
      </c>
      <c r="L5" s="104">
        <v>13</v>
      </c>
      <c r="M5" s="104">
        <v>15</v>
      </c>
      <c r="O5" s="97"/>
      <c r="P5" s="105" t="s">
        <v>107</v>
      </c>
      <c r="Q5" s="105" t="s">
        <v>107</v>
      </c>
      <c r="R5" s="131"/>
      <c r="S5" s="106" t="s">
        <v>108</v>
      </c>
      <c r="T5" s="107"/>
      <c r="U5" s="107"/>
      <c r="V5" s="107"/>
      <c r="W5" s="107"/>
      <c r="X5" s="107"/>
      <c r="Y5" s="108"/>
      <c r="AA5" s="158" t="s">
        <v>178</v>
      </c>
      <c r="AB5" s="161"/>
      <c r="AC5" s="161"/>
      <c r="AD5" s="161"/>
      <c r="AE5" s="162"/>
      <c r="AF5" s="162"/>
      <c r="AG5" s="162"/>
      <c r="AH5" s="162"/>
      <c r="AI5" s="162"/>
      <c r="AJ5" s="162"/>
      <c r="AK5" s="162"/>
    </row>
    <row r="6" spans="10:37" ht="12.75">
      <c r="J6" s="159" t="s">
        <v>106</v>
      </c>
      <c r="K6" s="104">
        <v>70</v>
      </c>
      <c r="L6" s="104">
        <v>35</v>
      </c>
      <c r="M6" s="104">
        <v>40</v>
      </c>
      <c r="O6" s="132" t="s">
        <v>91</v>
      </c>
      <c r="P6" s="111">
        <f>$K$9</f>
        <v>25</v>
      </c>
      <c r="Q6" s="112">
        <f aca="true" t="shared" si="1" ref="Q6:Q12">ASIN(SIN($P6*PI()/180)*SIN($K$8*PI()/180)/SIN($K$9*PI()/180))*180/PI()</f>
        <v>35</v>
      </c>
      <c r="R6" s="94"/>
      <c r="S6" s="93">
        <f aca="true" t="shared" si="2" ref="S6:Y12">1.7*10^-5*$K$5^2*$K$6*S$3^2*TAN($P6*PI()/180)*SIN($P6*PI()/180)/TAN($Q6*PI()/180)/2</f>
        <v>7.314818647231366</v>
      </c>
      <c r="T6" s="93">
        <f t="shared" si="2"/>
        <v>16.458341956270573</v>
      </c>
      <c r="U6" s="93">
        <f t="shared" si="2"/>
        <v>29.259274588925464</v>
      </c>
      <c r="V6" s="93">
        <f t="shared" si="2"/>
        <v>45.71761654519604</v>
      </c>
      <c r="W6" s="93">
        <f t="shared" si="2"/>
        <v>65.83336782508229</v>
      </c>
      <c r="X6" s="93">
        <f t="shared" si="2"/>
        <v>89.60652842858424</v>
      </c>
      <c r="Y6" s="113">
        <f t="shared" si="2"/>
        <v>117.03709835570186</v>
      </c>
      <c r="AA6" s="158" t="s">
        <v>160</v>
      </c>
      <c r="AB6" s="161"/>
      <c r="AC6" s="161"/>
      <c r="AD6" s="161"/>
      <c r="AE6" s="162"/>
      <c r="AF6" s="162"/>
      <c r="AG6" s="162"/>
      <c r="AH6" s="162"/>
      <c r="AI6" s="162"/>
      <c r="AJ6" s="162"/>
      <c r="AK6" s="162"/>
    </row>
    <row r="7" spans="10:37" ht="12.75">
      <c r="J7" s="164" t="s">
        <v>141</v>
      </c>
      <c r="K7" s="109">
        <v>69</v>
      </c>
      <c r="L7" s="109">
        <v>69</v>
      </c>
      <c r="M7" s="109">
        <v>120</v>
      </c>
      <c r="O7" s="97"/>
      <c r="P7" s="36">
        <f aca="true" t="shared" si="3" ref="P7:P12">P6-0.15*$P$6</f>
        <v>21.25</v>
      </c>
      <c r="Q7" s="36">
        <f t="shared" si="1"/>
        <v>29.465539031527076</v>
      </c>
      <c r="R7" s="133"/>
      <c r="S7" s="36">
        <f t="shared" si="2"/>
        <v>6.483733343081689</v>
      </c>
      <c r="T7" s="36">
        <f t="shared" si="2"/>
        <v>14.5884000219338</v>
      </c>
      <c r="U7" s="36">
        <f t="shared" si="2"/>
        <v>25.934933372326757</v>
      </c>
      <c r="V7" s="36">
        <f t="shared" si="2"/>
        <v>40.52333339426056</v>
      </c>
      <c r="W7" s="36">
        <f t="shared" si="2"/>
        <v>58.3536000877352</v>
      </c>
      <c r="X7" s="36">
        <f t="shared" si="2"/>
        <v>79.4257334527507</v>
      </c>
      <c r="Y7" s="37">
        <f t="shared" si="2"/>
        <v>103.73973348930703</v>
      </c>
      <c r="AA7" s="158" t="s">
        <v>180</v>
      </c>
      <c r="AB7" s="161"/>
      <c r="AC7" s="161"/>
      <c r="AD7" s="161"/>
      <c r="AE7" s="162"/>
      <c r="AF7" s="162"/>
      <c r="AG7" s="162"/>
      <c r="AH7" s="162"/>
      <c r="AI7" s="162"/>
      <c r="AJ7" s="162"/>
      <c r="AK7" s="162"/>
    </row>
    <row r="8" spans="10:37" ht="12.75">
      <c r="J8" s="159" t="s">
        <v>162</v>
      </c>
      <c r="K8" s="115">
        <v>35</v>
      </c>
      <c r="L8" s="115">
        <v>35</v>
      </c>
      <c r="M8" s="115">
        <v>50</v>
      </c>
      <c r="O8" s="97"/>
      <c r="P8" s="36">
        <f t="shared" si="3"/>
        <v>17.5</v>
      </c>
      <c r="Q8" s="36">
        <f t="shared" si="1"/>
        <v>24.086611918329176</v>
      </c>
      <c r="R8" s="133"/>
      <c r="S8" s="36">
        <f t="shared" si="2"/>
        <v>5.512214009219613</v>
      </c>
      <c r="T8" s="36">
        <f t="shared" si="2"/>
        <v>12.40248152074413</v>
      </c>
      <c r="U8" s="36">
        <f t="shared" si="2"/>
        <v>22.04885603687845</v>
      </c>
      <c r="V8" s="36">
        <f t="shared" si="2"/>
        <v>34.45133755762258</v>
      </c>
      <c r="W8" s="36">
        <f t="shared" si="2"/>
        <v>49.60992608297652</v>
      </c>
      <c r="X8" s="36">
        <f t="shared" si="2"/>
        <v>67.52462161294027</v>
      </c>
      <c r="Y8" s="37">
        <f t="shared" si="2"/>
        <v>88.1954241475138</v>
      </c>
      <c r="AA8" s="158" t="s">
        <v>161</v>
      </c>
      <c r="AB8" s="161"/>
      <c r="AC8" s="161"/>
      <c r="AD8" s="161"/>
      <c r="AE8" s="162"/>
      <c r="AF8" s="162"/>
      <c r="AG8" s="162"/>
      <c r="AH8" s="162"/>
      <c r="AI8" s="162"/>
      <c r="AJ8" s="162"/>
      <c r="AK8" s="162"/>
    </row>
    <row r="9" spans="10:37" ht="12.75">
      <c r="J9" s="159" t="s">
        <v>163</v>
      </c>
      <c r="K9" s="117">
        <v>25</v>
      </c>
      <c r="L9" s="117">
        <v>25</v>
      </c>
      <c r="M9" s="117">
        <v>35</v>
      </c>
      <c r="O9" s="97"/>
      <c r="P9" s="36">
        <f t="shared" si="3"/>
        <v>13.75</v>
      </c>
      <c r="Q9" s="36">
        <f t="shared" si="1"/>
        <v>18.81942940296771</v>
      </c>
      <c r="R9" s="133"/>
      <c r="S9" s="36">
        <f t="shared" si="2"/>
        <v>4.435439284840117</v>
      </c>
      <c r="T9" s="36">
        <f t="shared" si="2"/>
        <v>9.979738390890263</v>
      </c>
      <c r="U9" s="36">
        <f t="shared" si="2"/>
        <v>17.74175713936047</v>
      </c>
      <c r="V9" s="36">
        <f t="shared" si="2"/>
        <v>27.721495530250735</v>
      </c>
      <c r="W9" s="36">
        <f t="shared" si="2"/>
        <v>39.918953563561054</v>
      </c>
      <c r="X9" s="36">
        <f t="shared" si="2"/>
        <v>54.33413123929144</v>
      </c>
      <c r="Y9" s="37">
        <f t="shared" si="2"/>
        <v>70.96702855744188</v>
      </c>
      <c r="AA9" s="158" t="s">
        <v>158</v>
      </c>
      <c r="AB9" s="161"/>
      <c r="AC9" s="161"/>
      <c r="AD9" s="161"/>
      <c r="AE9" s="162"/>
      <c r="AF9" s="162"/>
      <c r="AG9" s="162"/>
      <c r="AH9" s="162"/>
      <c r="AI9" s="162"/>
      <c r="AJ9" s="162"/>
      <c r="AK9" s="162"/>
    </row>
    <row r="10" spans="15:37" ht="12.75">
      <c r="O10" s="97"/>
      <c r="P10" s="36">
        <f t="shared" si="3"/>
        <v>10</v>
      </c>
      <c r="Q10" s="36">
        <f t="shared" si="1"/>
        <v>13.631407243516309</v>
      </c>
      <c r="R10" s="133"/>
      <c r="S10" s="36">
        <f t="shared" si="2"/>
        <v>3.281530491102578</v>
      </c>
      <c r="T10" s="36">
        <f t="shared" si="2"/>
        <v>7.3834436049808</v>
      </c>
      <c r="U10" s="36">
        <f t="shared" si="2"/>
        <v>13.126121964410313</v>
      </c>
      <c r="V10" s="36">
        <f t="shared" si="2"/>
        <v>20.509565569391114</v>
      </c>
      <c r="W10" s="36">
        <f t="shared" si="2"/>
        <v>29.5337744199232</v>
      </c>
      <c r="X10" s="36">
        <f t="shared" si="2"/>
        <v>40.19874851600659</v>
      </c>
      <c r="Y10" s="37">
        <f t="shared" si="2"/>
        <v>52.50448785764125</v>
      </c>
      <c r="Z10" s="4"/>
      <c r="AA10" s="158" t="s">
        <v>164</v>
      </c>
      <c r="AB10" s="161"/>
      <c r="AC10" s="161"/>
      <c r="AD10" s="161"/>
      <c r="AE10" s="162"/>
      <c r="AF10" s="162"/>
      <c r="AG10" s="162"/>
      <c r="AH10" s="162"/>
      <c r="AI10" s="162"/>
      <c r="AJ10" s="162"/>
      <c r="AK10" s="162"/>
    </row>
    <row r="11" spans="10:37" ht="12.75">
      <c r="J11" s="159" t="s">
        <v>129</v>
      </c>
      <c r="K11" s="134">
        <f>MAX(Y6:Y12)</f>
        <v>117.03709835570186</v>
      </c>
      <c r="L11" s="134">
        <f>MAX(Y13:Y19)</f>
        <v>171.21943924959845</v>
      </c>
      <c r="M11" s="134">
        <f>MAX(Y20:Y26)</f>
        <v>311.94528013268666</v>
      </c>
      <c r="O11" s="97"/>
      <c r="P11" s="36">
        <f t="shared" si="3"/>
        <v>6.25</v>
      </c>
      <c r="Q11" s="36">
        <f t="shared" si="1"/>
        <v>8.496781083802523</v>
      </c>
      <c r="R11" s="133"/>
      <c r="S11" s="36">
        <f t="shared" si="2"/>
        <v>2.0742359483336745</v>
      </c>
      <c r="T11" s="36">
        <f t="shared" si="2"/>
        <v>4.667030883750768</v>
      </c>
      <c r="U11" s="36">
        <f t="shared" si="2"/>
        <v>8.296943793334698</v>
      </c>
      <c r="V11" s="36">
        <f t="shared" si="2"/>
        <v>12.963974677085467</v>
      </c>
      <c r="W11" s="36">
        <f t="shared" si="2"/>
        <v>18.668123535003073</v>
      </c>
      <c r="X11" s="36">
        <f t="shared" si="2"/>
        <v>25.409390367087514</v>
      </c>
      <c r="Y11" s="37">
        <f t="shared" si="2"/>
        <v>33.18777517333879</v>
      </c>
      <c r="AA11" s="158" t="s">
        <v>181</v>
      </c>
      <c r="AB11" s="161"/>
      <c r="AC11" s="161"/>
      <c r="AD11" s="161"/>
      <c r="AE11" s="162"/>
      <c r="AF11" s="162"/>
      <c r="AG11" s="162"/>
      <c r="AH11" s="162"/>
      <c r="AI11" s="162"/>
      <c r="AJ11" s="162"/>
      <c r="AK11" s="162"/>
    </row>
    <row r="12" spans="15:37" ht="13.5" thickBot="1">
      <c r="O12" s="119"/>
      <c r="P12" s="36">
        <f t="shared" si="3"/>
        <v>2.5</v>
      </c>
      <c r="Q12" s="50">
        <f t="shared" si="1"/>
        <v>3.3939015324331203</v>
      </c>
      <c r="R12" s="135"/>
      <c r="S12" s="50">
        <f t="shared" si="2"/>
        <v>0.8346362513854082</v>
      </c>
      <c r="T12" s="50">
        <f t="shared" si="2"/>
        <v>1.877931565617169</v>
      </c>
      <c r="U12" s="50">
        <f t="shared" si="2"/>
        <v>3.338545005541633</v>
      </c>
      <c r="V12" s="50">
        <f t="shared" si="2"/>
        <v>5.216476571158801</v>
      </c>
      <c r="W12" s="50">
        <f t="shared" si="2"/>
        <v>7.511726262468676</v>
      </c>
      <c r="X12" s="50">
        <f t="shared" si="2"/>
        <v>10.224294079471253</v>
      </c>
      <c r="Y12" s="51">
        <f t="shared" si="2"/>
        <v>13.354180022166531</v>
      </c>
      <c r="AA12" s="158" t="s">
        <v>182</v>
      </c>
      <c r="AB12" s="161"/>
      <c r="AC12" s="161"/>
      <c r="AD12" s="161"/>
      <c r="AE12" s="162"/>
      <c r="AF12" s="162"/>
      <c r="AG12" s="162"/>
      <c r="AH12" s="162"/>
      <c r="AI12" s="162"/>
      <c r="AJ12" s="162"/>
      <c r="AK12" s="162"/>
    </row>
    <row r="13" spans="15:37" ht="12.75">
      <c r="O13" s="132" t="s">
        <v>92</v>
      </c>
      <c r="P13" s="111">
        <f>$L$9</f>
        <v>25</v>
      </c>
      <c r="Q13" s="112">
        <f aca="true" t="shared" si="4" ref="Q13:Q19">ASIN(SIN($P13*PI()/180)*SIN($L$8*PI()/180)/SIN($L$9*PI()/180))*180/PI()</f>
        <v>35</v>
      </c>
      <c r="R13" s="94"/>
      <c r="S13" s="93">
        <f aca="true" t="shared" si="5" ref="S13:Y19">1.7*10^-5*$L$5^2*$L$6*S$3^2*TAN($P13*PI()/180)*SIN($P13*PI()/180)/TAN($Q13*PI()/180)/2</f>
        <v>10.701214953099903</v>
      </c>
      <c r="T13" s="93">
        <f t="shared" si="5"/>
        <v>24.07773364447478</v>
      </c>
      <c r="U13" s="93">
        <f t="shared" si="5"/>
        <v>42.80485981239961</v>
      </c>
      <c r="V13" s="93">
        <f t="shared" si="5"/>
        <v>66.88259345687439</v>
      </c>
      <c r="W13" s="93">
        <f t="shared" si="5"/>
        <v>96.31093457789912</v>
      </c>
      <c r="X13" s="93">
        <f t="shared" si="5"/>
        <v>131.08988317547383</v>
      </c>
      <c r="Y13" s="113">
        <f t="shared" si="5"/>
        <v>171.21943924959845</v>
      </c>
      <c r="AA13" s="158" t="s">
        <v>183</v>
      </c>
      <c r="AB13" s="161"/>
      <c r="AC13" s="161"/>
      <c r="AD13" s="161"/>
      <c r="AE13" s="162"/>
      <c r="AF13" s="162"/>
      <c r="AG13" s="162"/>
      <c r="AH13" s="162"/>
      <c r="AI13" s="162"/>
      <c r="AJ13" s="162"/>
      <c r="AK13" s="162"/>
    </row>
    <row r="14" spans="15:37" ht="12.75">
      <c r="O14" s="97"/>
      <c r="P14" s="36">
        <f aca="true" t="shared" si="6" ref="P14:P19">P13-0.15*$P$13</f>
        <v>21.25</v>
      </c>
      <c r="Q14" s="36">
        <f t="shared" si="4"/>
        <v>29.465539031527076</v>
      </c>
      <c r="R14" s="133"/>
      <c r="S14" s="36">
        <f t="shared" si="5"/>
        <v>9.485378592285366</v>
      </c>
      <c r="T14" s="36">
        <f t="shared" si="5"/>
        <v>21.34210183264208</v>
      </c>
      <c r="U14" s="36">
        <f t="shared" si="5"/>
        <v>37.941514369141466</v>
      </c>
      <c r="V14" s="36">
        <f t="shared" si="5"/>
        <v>59.283616201783545</v>
      </c>
      <c r="W14" s="36">
        <f t="shared" si="5"/>
        <v>85.36840733056832</v>
      </c>
      <c r="X14" s="36">
        <f t="shared" si="5"/>
        <v>116.19588775549575</v>
      </c>
      <c r="Y14" s="37">
        <f t="shared" si="5"/>
        <v>151.76605747656586</v>
      </c>
      <c r="AB14" s="161"/>
      <c r="AC14" s="161"/>
      <c r="AD14" s="161"/>
      <c r="AE14" s="162"/>
      <c r="AF14" s="162"/>
      <c r="AG14" s="162"/>
      <c r="AH14" s="162"/>
      <c r="AI14" s="162"/>
      <c r="AJ14" s="162"/>
      <c r="AK14" s="162"/>
    </row>
    <row r="15" spans="15:37" ht="12.75">
      <c r="O15" s="97"/>
      <c r="P15" s="36">
        <f t="shared" si="6"/>
        <v>17.5</v>
      </c>
      <c r="Q15" s="36">
        <f t="shared" si="4"/>
        <v>24.086611918329176</v>
      </c>
      <c r="R15" s="133"/>
      <c r="S15" s="36">
        <f t="shared" si="5"/>
        <v>8.064094248252378</v>
      </c>
      <c r="T15" s="36">
        <f t="shared" si="5"/>
        <v>18.14421205856785</v>
      </c>
      <c r="U15" s="36">
        <f t="shared" si="5"/>
        <v>32.25637699300951</v>
      </c>
      <c r="V15" s="36">
        <f t="shared" si="5"/>
        <v>50.40058905157736</v>
      </c>
      <c r="W15" s="36">
        <f t="shared" si="5"/>
        <v>72.5768482342714</v>
      </c>
      <c r="X15" s="36">
        <f t="shared" si="5"/>
        <v>98.78515454109164</v>
      </c>
      <c r="Y15" s="37">
        <f t="shared" si="5"/>
        <v>129.02550797203804</v>
      </c>
      <c r="AA15" s="165" t="s">
        <v>146</v>
      </c>
      <c r="AB15" s="161"/>
      <c r="AC15" s="161"/>
      <c r="AD15" s="161"/>
      <c r="AE15" s="162"/>
      <c r="AF15" s="162"/>
      <c r="AG15" s="162"/>
      <c r="AH15" s="162"/>
      <c r="AI15" s="162"/>
      <c r="AJ15" s="162"/>
      <c r="AK15" s="162"/>
    </row>
    <row r="16" spans="15:37" ht="12.75">
      <c r="O16" s="97"/>
      <c r="P16" s="36">
        <f t="shared" si="6"/>
        <v>13.75</v>
      </c>
      <c r="Q16" s="36">
        <f t="shared" si="4"/>
        <v>18.81942940296771</v>
      </c>
      <c r="R16" s="133"/>
      <c r="S16" s="36">
        <f t="shared" si="5"/>
        <v>6.48882651608362</v>
      </c>
      <c r="T16" s="36">
        <f t="shared" si="5"/>
        <v>14.599859661188146</v>
      </c>
      <c r="U16" s="36">
        <f t="shared" si="5"/>
        <v>25.95530606433448</v>
      </c>
      <c r="V16" s="36">
        <f t="shared" si="5"/>
        <v>40.55516572552262</v>
      </c>
      <c r="W16" s="36">
        <f t="shared" si="5"/>
        <v>58.399438644752586</v>
      </c>
      <c r="X16" s="36">
        <f t="shared" si="5"/>
        <v>79.48812482202436</v>
      </c>
      <c r="Y16" s="37">
        <f t="shared" si="5"/>
        <v>103.82122425733792</v>
      </c>
      <c r="AA16" s="163" t="s">
        <v>184</v>
      </c>
      <c r="AB16" s="161"/>
      <c r="AC16" s="161"/>
      <c r="AD16" s="161"/>
      <c r="AE16" s="162"/>
      <c r="AF16" s="162"/>
      <c r="AG16" s="162"/>
      <c r="AH16" s="162"/>
      <c r="AI16" s="162"/>
      <c r="AJ16" s="162"/>
      <c r="AK16" s="162"/>
    </row>
    <row r="17" spans="15:37" ht="12.75">
      <c r="O17" s="97"/>
      <c r="P17" s="36">
        <f t="shared" si="6"/>
        <v>10</v>
      </c>
      <c r="Q17" s="36">
        <f t="shared" si="4"/>
        <v>13.631407243516309</v>
      </c>
      <c r="R17" s="133"/>
      <c r="S17" s="36">
        <f t="shared" si="5"/>
        <v>4.800715486464125</v>
      </c>
      <c r="T17" s="36">
        <f t="shared" si="5"/>
        <v>10.80160984454428</v>
      </c>
      <c r="U17" s="36">
        <f t="shared" si="5"/>
        <v>19.2028619458565</v>
      </c>
      <c r="V17" s="36">
        <f t="shared" si="5"/>
        <v>30.00447179040078</v>
      </c>
      <c r="W17" s="36">
        <f t="shared" si="5"/>
        <v>43.20643937817712</v>
      </c>
      <c r="X17" s="36">
        <f t="shared" si="5"/>
        <v>58.808764709185525</v>
      </c>
      <c r="Y17" s="37">
        <f t="shared" si="5"/>
        <v>76.811447783426</v>
      </c>
      <c r="AA17" s="163" t="s">
        <v>185</v>
      </c>
      <c r="AB17" s="161"/>
      <c r="AC17" s="161"/>
      <c r="AD17" s="161"/>
      <c r="AE17" s="162"/>
      <c r="AF17" s="162"/>
      <c r="AG17" s="162"/>
      <c r="AH17" s="162"/>
      <c r="AI17" s="162"/>
      <c r="AJ17" s="162"/>
      <c r="AK17" s="162"/>
    </row>
    <row r="18" spans="15:37" ht="12.75">
      <c r="O18" s="97"/>
      <c r="P18" s="36">
        <f t="shared" si="6"/>
        <v>6.25</v>
      </c>
      <c r="Q18" s="36">
        <f t="shared" si="4"/>
        <v>8.496781083802523</v>
      </c>
      <c r="R18" s="133"/>
      <c r="S18" s="36">
        <f t="shared" si="5"/>
        <v>3.0345037679050475</v>
      </c>
      <c r="T18" s="36">
        <f t="shared" si="5"/>
        <v>6.827633477786356</v>
      </c>
      <c r="U18" s="36">
        <f t="shared" si="5"/>
        <v>12.13801507162019</v>
      </c>
      <c r="V18" s="36">
        <f t="shared" si="5"/>
        <v>18.965648549406545</v>
      </c>
      <c r="W18" s="36">
        <f t="shared" si="5"/>
        <v>27.310533911145424</v>
      </c>
      <c r="X18" s="36">
        <f t="shared" si="5"/>
        <v>37.17267115683683</v>
      </c>
      <c r="Y18" s="37">
        <f t="shared" si="5"/>
        <v>48.55206028648076</v>
      </c>
      <c r="AA18" s="163" t="s">
        <v>186</v>
      </c>
      <c r="AB18" s="161"/>
      <c r="AC18" s="161"/>
      <c r="AD18" s="161"/>
      <c r="AE18" s="162"/>
      <c r="AF18" s="162"/>
      <c r="AG18" s="162"/>
      <c r="AH18" s="162"/>
      <c r="AI18" s="162"/>
      <c r="AJ18" s="162"/>
      <c r="AK18" s="162"/>
    </row>
    <row r="19" spans="15:37" ht="13.5" thickBot="1">
      <c r="O19" s="119"/>
      <c r="P19" s="36">
        <f t="shared" si="6"/>
        <v>2.5</v>
      </c>
      <c r="Q19" s="50">
        <f t="shared" si="4"/>
        <v>3.3939015324331203</v>
      </c>
      <c r="R19" s="135"/>
      <c r="S19" s="50">
        <f t="shared" si="5"/>
        <v>1.221031219564872</v>
      </c>
      <c r="T19" s="50">
        <f t="shared" si="5"/>
        <v>2.747320244020962</v>
      </c>
      <c r="U19" s="50">
        <f t="shared" si="5"/>
        <v>4.884124878259488</v>
      </c>
      <c r="V19" s="50">
        <f t="shared" si="5"/>
        <v>7.631445122280449</v>
      </c>
      <c r="W19" s="50">
        <f t="shared" si="5"/>
        <v>10.989280976083847</v>
      </c>
      <c r="X19" s="50">
        <f t="shared" si="5"/>
        <v>14.95763243966968</v>
      </c>
      <c r="Y19" s="51">
        <f t="shared" si="5"/>
        <v>19.536499513037953</v>
      </c>
      <c r="AA19" s="163" t="s">
        <v>187</v>
      </c>
      <c r="AB19" s="161"/>
      <c r="AC19" s="161"/>
      <c r="AD19" s="161"/>
      <c r="AE19" s="162"/>
      <c r="AF19" s="162"/>
      <c r="AG19" s="162"/>
      <c r="AH19" s="162"/>
      <c r="AI19" s="162"/>
      <c r="AJ19" s="162"/>
      <c r="AK19" s="162"/>
    </row>
    <row r="20" spans="15:37" ht="12.75">
      <c r="O20" s="132" t="s">
        <v>93</v>
      </c>
      <c r="P20" s="111">
        <f>$M$9</f>
        <v>35</v>
      </c>
      <c r="Q20" s="112">
        <f aca="true" t="shared" si="7" ref="Q20:Q26">ASIN(SIN($P20*PI()/180)*SIN($M$8*PI()/180)/SIN($M$9*PI()/180))*180/PI()</f>
        <v>49.99999999999999</v>
      </c>
      <c r="R20" s="94"/>
      <c r="S20" s="93">
        <f aca="true" t="shared" si="8" ref="S20:Y26">1.7*10^-5*$M$5^2*$M$6*S$3^2*TAN($P20*PI()/180)*SIN($P20*PI()/180)/TAN($Q20*PI()/180)/2</f>
        <v>19.496580008292916</v>
      </c>
      <c r="T20" s="93">
        <f t="shared" si="8"/>
        <v>43.86730501865907</v>
      </c>
      <c r="U20" s="93">
        <f t="shared" si="8"/>
        <v>77.98632003317167</v>
      </c>
      <c r="V20" s="93">
        <f t="shared" si="8"/>
        <v>121.85362505183075</v>
      </c>
      <c r="W20" s="93">
        <f t="shared" si="8"/>
        <v>175.46922007463627</v>
      </c>
      <c r="X20" s="93">
        <f t="shared" si="8"/>
        <v>238.83310510158825</v>
      </c>
      <c r="Y20" s="113">
        <f t="shared" si="8"/>
        <v>311.94528013268666</v>
      </c>
      <c r="AA20" s="163" t="s">
        <v>188</v>
      </c>
      <c r="AB20" s="161"/>
      <c r="AC20" s="161"/>
      <c r="AD20" s="161"/>
      <c r="AE20" s="162"/>
      <c r="AF20" s="162"/>
      <c r="AG20" s="162"/>
      <c r="AH20" s="162"/>
      <c r="AI20" s="162"/>
      <c r="AJ20" s="162"/>
      <c r="AK20" s="162"/>
    </row>
    <row r="21" spans="15:37" ht="12.75">
      <c r="O21" s="97"/>
      <c r="P21" s="36">
        <f aca="true" t="shared" si="9" ref="P21:P26">P20-0.15*$P$20</f>
        <v>29.75</v>
      </c>
      <c r="Q21" s="36">
        <f t="shared" si="7"/>
        <v>41.5080896216208</v>
      </c>
      <c r="R21" s="133"/>
      <c r="S21" s="36">
        <f t="shared" si="8"/>
        <v>18.540355550295747</v>
      </c>
      <c r="T21" s="36">
        <f t="shared" si="8"/>
        <v>41.715799988165436</v>
      </c>
      <c r="U21" s="36">
        <f t="shared" si="8"/>
        <v>74.16142220118299</v>
      </c>
      <c r="V21" s="36">
        <f t="shared" si="8"/>
        <v>115.87722218934843</v>
      </c>
      <c r="W21" s="36">
        <f t="shared" si="8"/>
        <v>166.86319995266174</v>
      </c>
      <c r="X21" s="36">
        <f t="shared" si="8"/>
        <v>227.11935549112295</v>
      </c>
      <c r="Y21" s="37">
        <f t="shared" si="8"/>
        <v>296.64568880473195</v>
      </c>
      <c r="AB21" s="161"/>
      <c r="AC21" s="161"/>
      <c r="AD21" s="161"/>
      <c r="AE21" s="162"/>
      <c r="AF21" s="162"/>
      <c r="AG21" s="162"/>
      <c r="AH21" s="162"/>
      <c r="AI21" s="162"/>
      <c r="AJ21" s="162"/>
      <c r="AK21" s="162"/>
    </row>
    <row r="22" spans="15:37" ht="12.75">
      <c r="O22" s="97"/>
      <c r="P22" s="36">
        <f t="shared" si="9"/>
        <v>24.5</v>
      </c>
      <c r="Q22" s="36">
        <f t="shared" si="7"/>
        <v>33.63131954972903</v>
      </c>
      <c r="R22" s="133"/>
      <c r="S22" s="36">
        <f t="shared" si="8"/>
        <v>16.43668849750609</v>
      </c>
      <c r="T22" s="36">
        <f t="shared" si="8"/>
        <v>36.9825491193887</v>
      </c>
      <c r="U22" s="36">
        <f t="shared" si="8"/>
        <v>65.74675399002436</v>
      </c>
      <c r="V22" s="36">
        <f t="shared" si="8"/>
        <v>102.72930310941305</v>
      </c>
      <c r="W22" s="36">
        <f t="shared" si="8"/>
        <v>147.9301964775548</v>
      </c>
      <c r="X22" s="36">
        <f t="shared" si="8"/>
        <v>201.34943409444955</v>
      </c>
      <c r="Y22" s="37">
        <f t="shared" si="8"/>
        <v>262.98701596009744</v>
      </c>
      <c r="AA22" s="165" t="s">
        <v>189</v>
      </c>
      <c r="AB22" s="161"/>
      <c r="AC22" s="161"/>
      <c r="AD22" s="162"/>
      <c r="AE22" s="162"/>
      <c r="AF22" s="162"/>
      <c r="AG22" s="162"/>
      <c r="AH22" s="162"/>
      <c r="AI22" s="162"/>
      <c r="AJ22" s="162"/>
      <c r="AK22" s="162"/>
    </row>
    <row r="23" spans="15:37" ht="12.75">
      <c r="O23" s="97"/>
      <c r="P23" s="36">
        <f t="shared" si="9"/>
        <v>19.25</v>
      </c>
      <c r="Q23" s="36">
        <f t="shared" si="7"/>
        <v>26.12435695027522</v>
      </c>
      <c r="R23" s="133"/>
      <c r="S23" s="36">
        <f t="shared" si="8"/>
        <v>13.581790079889773</v>
      </c>
      <c r="T23" s="36">
        <f t="shared" si="8"/>
        <v>30.55902767975199</v>
      </c>
      <c r="U23" s="36">
        <f t="shared" si="8"/>
        <v>54.32716031955909</v>
      </c>
      <c r="V23" s="36">
        <f t="shared" si="8"/>
        <v>84.88618799931108</v>
      </c>
      <c r="W23" s="36">
        <f t="shared" si="8"/>
        <v>122.23611071900795</v>
      </c>
      <c r="X23" s="36">
        <f t="shared" si="8"/>
        <v>166.37692847864972</v>
      </c>
      <c r="Y23" s="37">
        <f t="shared" si="8"/>
        <v>217.30864127823637</v>
      </c>
      <c r="AA23" s="163" t="s">
        <v>155</v>
      </c>
      <c r="AB23" s="161"/>
      <c r="AC23" s="161"/>
      <c r="AE23" s="162"/>
      <c r="AF23" s="162"/>
      <c r="AG23" s="162"/>
      <c r="AH23" s="162"/>
      <c r="AI23" s="162"/>
      <c r="AJ23" s="162"/>
      <c r="AK23" s="162"/>
    </row>
    <row r="24" spans="15:37" ht="12.75">
      <c r="O24" s="97"/>
      <c r="P24" s="36">
        <f t="shared" si="9"/>
        <v>14</v>
      </c>
      <c r="Q24" s="36">
        <f t="shared" si="7"/>
        <v>18.85054354858448</v>
      </c>
      <c r="R24" s="133"/>
      <c r="S24" s="36">
        <f t="shared" si="8"/>
        <v>10.221007444838428</v>
      </c>
      <c r="T24" s="36">
        <f t="shared" si="8"/>
        <v>22.99726675088646</v>
      </c>
      <c r="U24" s="36">
        <f t="shared" si="8"/>
        <v>40.88402977935371</v>
      </c>
      <c r="V24" s="36">
        <f t="shared" si="8"/>
        <v>63.88129653024017</v>
      </c>
      <c r="W24" s="36">
        <f t="shared" si="8"/>
        <v>91.98906700354584</v>
      </c>
      <c r="X24" s="36">
        <f t="shared" si="8"/>
        <v>125.20734119927073</v>
      </c>
      <c r="Y24" s="37">
        <f t="shared" si="8"/>
        <v>163.53611911741484</v>
      </c>
      <c r="AA24" s="163" t="s">
        <v>166</v>
      </c>
      <c r="AB24" s="161"/>
      <c r="AC24" s="161"/>
      <c r="AD24" s="161"/>
      <c r="AE24" s="162"/>
      <c r="AF24" s="162"/>
      <c r="AG24" s="162"/>
      <c r="AH24" s="162"/>
      <c r="AI24" s="162"/>
      <c r="AJ24" s="162"/>
      <c r="AK24" s="162"/>
    </row>
    <row r="25" spans="15:37" ht="12.75">
      <c r="O25" s="97"/>
      <c r="P25" s="36">
        <f t="shared" si="9"/>
        <v>8.75</v>
      </c>
      <c r="Q25" s="36">
        <f t="shared" si="7"/>
        <v>11.722368027105048</v>
      </c>
      <c r="R25" s="133"/>
      <c r="S25" s="36">
        <f t="shared" si="8"/>
        <v>6.5281585391037416</v>
      </c>
      <c r="T25" s="36">
        <f t="shared" si="8"/>
        <v>14.688356712983422</v>
      </c>
      <c r="U25" s="36">
        <f t="shared" si="8"/>
        <v>26.112634156414966</v>
      </c>
      <c r="V25" s="36">
        <f t="shared" si="8"/>
        <v>40.80099086939839</v>
      </c>
      <c r="W25" s="36">
        <f t="shared" si="8"/>
        <v>58.75342685193369</v>
      </c>
      <c r="X25" s="36">
        <f t="shared" si="8"/>
        <v>79.96994210402083</v>
      </c>
      <c r="Y25" s="37">
        <f t="shared" si="8"/>
        <v>104.45053662565986</v>
      </c>
      <c r="AA25" s="163" t="s">
        <v>148</v>
      </c>
      <c r="AB25" s="161"/>
      <c r="AC25" s="161"/>
      <c r="AD25" s="161"/>
      <c r="AE25" s="162"/>
      <c r="AF25" s="162"/>
      <c r="AG25" s="162"/>
      <c r="AH25" s="162"/>
      <c r="AI25" s="162"/>
      <c r="AJ25" s="162"/>
      <c r="AK25" s="162"/>
    </row>
    <row r="26" spans="15:37" ht="13.5" thickBot="1">
      <c r="O26" s="119"/>
      <c r="P26" s="36">
        <f t="shared" si="9"/>
        <v>3.5</v>
      </c>
      <c r="Q26" s="50">
        <f t="shared" si="7"/>
        <v>4.676736864450135</v>
      </c>
      <c r="R26" s="135"/>
      <c r="S26" s="50">
        <f t="shared" si="8"/>
        <v>2.6405954790472452</v>
      </c>
      <c r="T26" s="50">
        <f t="shared" si="8"/>
        <v>5.941339827856302</v>
      </c>
      <c r="U26" s="50">
        <f t="shared" si="8"/>
        <v>10.562381916188981</v>
      </c>
      <c r="V26" s="50">
        <f t="shared" si="8"/>
        <v>16.503721744045283</v>
      </c>
      <c r="W26" s="50">
        <f t="shared" si="8"/>
        <v>23.765359311425208</v>
      </c>
      <c r="X26" s="50">
        <f t="shared" si="8"/>
        <v>32.34729461832875</v>
      </c>
      <c r="Y26" s="51">
        <f t="shared" si="8"/>
        <v>42.249527664755924</v>
      </c>
      <c r="AA26" s="163" t="s">
        <v>147</v>
      </c>
      <c r="AB26" s="161"/>
      <c r="AC26" s="161"/>
      <c r="AD26" s="161"/>
      <c r="AE26" s="162"/>
      <c r="AF26" s="162"/>
      <c r="AG26" s="162"/>
      <c r="AH26" s="162"/>
      <c r="AI26" s="162"/>
      <c r="AJ26" s="162"/>
      <c r="AK26" s="162"/>
    </row>
    <row r="27" spans="15:37" ht="13.5" thickBot="1">
      <c r="O27" s="125" t="s">
        <v>134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7"/>
      <c r="AA27" s="163" t="s">
        <v>149</v>
      </c>
      <c r="AB27" s="161"/>
      <c r="AC27" s="161"/>
      <c r="AD27" s="161"/>
      <c r="AE27" s="162"/>
      <c r="AF27" s="162"/>
      <c r="AG27" s="162"/>
      <c r="AH27" s="162"/>
      <c r="AI27" s="162"/>
      <c r="AJ27" s="162"/>
      <c r="AK27" s="162"/>
    </row>
    <row r="28" spans="27:37" ht="12.75">
      <c r="AA28" s="163" t="s">
        <v>150</v>
      </c>
      <c r="AB28" s="161"/>
      <c r="AC28" s="161"/>
      <c r="AD28" s="161"/>
      <c r="AE28" s="162"/>
      <c r="AF28" s="162"/>
      <c r="AG28" s="162"/>
      <c r="AH28" s="162"/>
      <c r="AI28" s="162"/>
      <c r="AJ28" s="162"/>
      <c r="AK28" s="162"/>
    </row>
    <row r="29" spans="27:37" ht="12.75">
      <c r="AA29" s="163" t="s">
        <v>151</v>
      </c>
      <c r="AB29" s="161"/>
      <c r="AC29" s="161"/>
      <c r="AD29" s="161"/>
      <c r="AE29" s="162"/>
      <c r="AF29" s="162"/>
      <c r="AG29" s="162"/>
      <c r="AH29" s="162"/>
      <c r="AI29" s="162"/>
      <c r="AJ29" s="162"/>
      <c r="AK29" s="162"/>
    </row>
    <row r="30" spans="27:37" ht="12.75">
      <c r="AA30" s="163" t="s">
        <v>152</v>
      </c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</row>
    <row r="31" spans="27:37" ht="12.75">
      <c r="AA31" s="163" t="s">
        <v>153</v>
      </c>
      <c r="AB31" s="162"/>
      <c r="AC31" s="162"/>
      <c r="AD31" s="162"/>
      <c r="AE31" s="162"/>
      <c r="AG31" s="162"/>
      <c r="AH31" s="162"/>
      <c r="AI31" s="162"/>
      <c r="AJ31" s="162"/>
      <c r="AK31" s="162"/>
    </row>
    <row r="32" spans="27:37" ht="12.75">
      <c r="AA32" s="163" t="s">
        <v>154</v>
      </c>
      <c r="AB32" s="162"/>
      <c r="AC32" s="162"/>
      <c r="AD32" s="162"/>
      <c r="AE32" s="162"/>
      <c r="AG32" s="162"/>
      <c r="AH32" s="162"/>
      <c r="AI32" s="162"/>
      <c r="AJ32" s="162"/>
      <c r="AK32" s="162"/>
    </row>
    <row r="33" spans="27:37" ht="14.25">
      <c r="AA33" s="163" t="s">
        <v>167</v>
      </c>
      <c r="AK33" s="162"/>
    </row>
    <row r="34" ht="12.75">
      <c r="AA34" s="162"/>
    </row>
    <row r="35" ht="12.75">
      <c r="AA35" s="166" t="s">
        <v>157</v>
      </c>
    </row>
    <row r="36" ht="12.75">
      <c r="AA36" s="166" t="s">
        <v>156</v>
      </c>
    </row>
  </sheetData>
  <sheetProtection password="CF59" sheet="1" objects="1" scenarios="1"/>
  <conditionalFormatting sqref="S6:Y12">
    <cfRule type="cellIs" priority="1" dxfId="0" operator="greaterThan" stopIfTrue="1">
      <formula>$K$7+0.5</formula>
    </cfRule>
  </conditionalFormatting>
  <conditionalFormatting sqref="S13:Y19">
    <cfRule type="cellIs" priority="2" dxfId="0" operator="greaterThan" stopIfTrue="1">
      <formula>$L$7+0.5</formula>
    </cfRule>
  </conditionalFormatting>
  <conditionalFormatting sqref="S20:Y26">
    <cfRule type="cellIs" priority="3" dxfId="0" operator="greaterThan" stopIfTrue="1">
      <formula>$M$7+0.5</formula>
    </cfRule>
  </conditionalFormatting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1:AZ45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2.7109375" style="158" customWidth="1"/>
    <col min="2" max="2" width="2.8515625" style="167" customWidth="1"/>
    <col min="3" max="5" width="10.7109375" style="4" customWidth="1"/>
    <col min="6" max="14" width="10.7109375" style="158" customWidth="1"/>
    <col min="15" max="15" width="3.28125" style="158" customWidth="1"/>
    <col min="16" max="16" width="10.421875" style="158" bestFit="1" customWidth="1"/>
    <col min="17" max="18" width="7.57421875" style="158" customWidth="1"/>
    <col min="19" max="19" width="4.7109375" style="4" customWidth="1"/>
    <col min="20" max="20" width="4.140625" style="168" customWidth="1"/>
    <col min="21" max="26" width="4.140625" style="158" customWidth="1"/>
    <col min="27" max="27" width="1.8515625" style="158" customWidth="1"/>
    <col min="28" max="28" width="10.421875" style="158" customWidth="1"/>
    <col min="29" max="30" width="7.57421875" style="158" customWidth="1"/>
    <col min="31" max="31" width="4.7109375" style="4" customWidth="1"/>
    <col min="32" max="32" width="4.140625" style="168" customWidth="1"/>
    <col min="33" max="38" width="4.140625" style="158" customWidth="1"/>
    <col min="39" max="39" width="3.421875" style="158" customWidth="1"/>
    <col min="40" max="40" width="8.57421875" style="4" customWidth="1"/>
    <col min="41" max="42" width="4.57421875" style="158" bestFit="1" customWidth="1"/>
    <col min="43" max="43" width="5.28125" style="158" bestFit="1" customWidth="1"/>
    <col min="44" max="46" width="3.57421875" style="158" bestFit="1" customWidth="1"/>
    <col min="47" max="47" width="3.421875" style="158" customWidth="1"/>
    <col min="48" max="48" width="6.57421875" style="160" customWidth="1"/>
    <col min="49" max="52" width="6.57421875" style="158" customWidth="1"/>
    <col min="53" max="16384" width="9.140625" style="158" customWidth="1"/>
  </cols>
  <sheetData>
    <row r="1" spans="4:15" ht="13.5" thickBot="1">
      <c r="D1" s="158"/>
      <c r="O1" s="4"/>
    </row>
    <row r="2" spans="3:52" ht="12.75">
      <c r="C2" s="158"/>
      <c r="D2" s="158"/>
      <c r="E2" s="158"/>
      <c r="G2" s="159" t="s">
        <v>86</v>
      </c>
      <c r="H2" s="89">
        <v>80</v>
      </c>
      <c r="I2" s="4"/>
      <c r="J2" s="4"/>
      <c r="L2" s="4"/>
      <c r="P2" s="90" t="s">
        <v>87</v>
      </c>
      <c r="Q2" s="91"/>
      <c r="R2" s="91"/>
      <c r="S2" s="91"/>
      <c r="T2" s="91"/>
      <c r="U2" s="91"/>
      <c r="V2" s="91"/>
      <c r="W2" s="91"/>
      <c r="X2" s="91"/>
      <c r="Y2" s="91"/>
      <c r="Z2" s="92"/>
      <c r="AB2" s="90" t="s">
        <v>88</v>
      </c>
      <c r="AC2" s="91"/>
      <c r="AD2" s="91"/>
      <c r="AE2" s="91"/>
      <c r="AF2" s="91"/>
      <c r="AG2" s="91"/>
      <c r="AH2" s="91"/>
      <c r="AI2" s="91"/>
      <c r="AJ2" s="91"/>
      <c r="AK2" s="91"/>
      <c r="AL2" s="92"/>
      <c r="AN2" s="90" t="s">
        <v>89</v>
      </c>
      <c r="AO2" s="93"/>
      <c r="AP2" s="93"/>
      <c r="AQ2" s="93"/>
      <c r="AR2" s="93"/>
      <c r="AS2" s="94"/>
      <c r="AT2" s="95"/>
      <c r="AV2" s="96" t="s">
        <v>90</v>
      </c>
      <c r="AW2" s="94"/>
      <c r="AX2" s="94"/>
      <c r="AY2" s="94"/>
      <c r="AZ2" s="95"/>
    </row>
    <row r="3" spans="3:52" ht="12.75">
      <c r="C3" s="158"/>
      <c r="D3" s="158"/>
      <c r="E3" s="158"/>
      <c r="G3" s="159"/>
      <c r="H3" s="4" t="s">
        <v>91</v>
      </c>
      <c r="I3" s="4" t="s">
        <v>92</v>
      </c>
      <c r="J3" s="4" t="s">
        <v>93</v>
      </c>
      <c r="L3" s="4"/>
      <c r="M3" s="4"/>
      <c r="P3" s="97"/>
      <c r="Q3" s="36"/>
      <c r="R3" s="36"/>
      <c r="S3" s="98" t="s">
        <v>94</v>
      </c>
      <c r="T3" s="99">
        <f aca="true" t="shared" si="0" ref="T3:Y3">U3-0.1*$AL$3</f>
        <v>32</v>
      </c>
      <c r="U3" s="99">
        <f t="shared" si="0"/>
        <v>40</v>
      </c>
      <c r="V3" s="99">
        <f t="shared" si="0"/>
        <v>48</v>
      </c>
      <c r="W3" s="99">
        <f t="shared" si="0"/>
        <v>56</v>
      </c>
      <c r="X3" s="99">
        <f t="shared" si="0"/>
        <v>64</v>
      </c>
      <c r="Y3" s="99">
        <f t="shared" si="0"/>
        <v>72</v>
      </c>
      <c r="Z3" s="100">
        <f>$H$2</f>
        <v>80</v>
      </c>
      <c r="AB3" s="97"/>
      <c r="AC3" s="36"/>
      <c r="AD3" s="36"/>
      <c r="AE3" s="98" t="s">
        <v>94</v>
      </c>
      <c r="AF3" s="99">
        <f aca="true" t="shared" si="1" ref="AF3:AK3">AG3-0.1*$AL$3</f>
        <v>32</v>
      </c>
      <c r="AG3" s="99">
        <f t="shared" si="1"/>
        <v>40</v>
      </c>
      <c r="AH3" s="99">
        <f t="shared" si="1"/>
        <v>48</v>
      </c>
      <c r="AI3" s="99">
        <f t="shared" si="1"/>
        <v>56</v>
      </c>
      <c r="AJ3" s="99">
        <f t="shared" si="1"/>
        <v>64</v>
      </c>
      <c r="AK3" s="99">
        <f t="shared" si="1"/>
        <v>72</v>
      </c>
      <c r="AL3" s="100">
        <f>$H$2</f>
        <v>80</v>
      </c>
      <c r="AN3" s="101"/>
      <c r="AO3" s="102" t="s">
        <v>95</v>
      </c>
      <c r="AP3" s="102" t="s">
        <v>96</v>
      </c>
      <c r="AQ3" s="102" t="s">
        <v>97</v>
      </c>
      <c r="AR3" s="102" t="s">
        <v>98</v>
      </c>
      <c r="AS3" s="102" t="s">
        <v>99</v>
      </c>
      <c r="AT3" s="103"/>
      <c r="AV3" s="101"/>
      <c r="AW3" s="36" t="s">
        <v>100</v>
      </c>
      <c r="AX3" s="36" t="s">
        <v>100</v>
      </c>
      <c r="AY3" s="36" t="s">
        <v>101</v>
      </c>
      <c r="AZ3" s="37" t="s">
        <v>101</v>
      </c>
    </row>
    <row r="4" spans="3:52" ht="12.75">
      <c r="C4" s="158"/>
      <c r="D4" s="158"/>
      <c r="E4" s="158"/>
      <c r="G4" s="159" t="s">
        <v>102</v>
      </c>
      <c r="H4" s="104">
        <v>7</v>
      </c>
      <c r="I4" s="104">
        <v>13</v>
      </c>
      <c r="J4" s="104">
        <v>18</v>
      </c>
      <c r="L4" s="4"/>
      <c r="M4" s="4"/>
      <c r="P4" s="97"/>
      <c r="Q4" s="36" t="s">
        <v>103</v>
      </c>
      <c r="R4" s="36" t="s">
        <v>104</v>
      </c>
      <c r="S4" s="36"/>
      <c r="T4" s="99"/>
      <c r="U4" s="99"/>
      <c r="V4" s="99"/>
      <c r="W4" s="99"/>
      <c r="X4" s="99"/>
      <c r="Y4" s="99"/>
      <c r="Z4" s="100"/>
      <c r="AB4" s="97"/>
      <c r="AC4" s="36" t="s">
        <v>103</v>
      </c>
      <c r="AD4" s="36" t="s">
        <v>104</v>
      </c>
      <c r="AE4" s="36"/>
      <c r="AF4" s="99"/>
      <c r="AG4" s="99"/>
      <c r="AH4" s="99"/>
      <c r="AI4" s="99"/>
      <c r="AJ4" s="99"/>
      <c r="AK4" s="99"/>
      <c r="AL4" s="100"/>
      <c r="AN4" s="101"/>
      <c r="AO4" s="35">
        <v>14</v>
      </c>
      <c r="AP4" s="35">
        <v>7</v>
      </c>
      <c r="AQ4" s="35">
        <v>10</v>
      </c>
      <c r="AR4" s="35">
        <v>2.5</v>
      </c>
      <c r="AS4" s="35">
        <v>5</v>
      </c>
      <c r="AT4" s="37"/>
      <c r="AV4" s="101"/>
      <c r="AW4" s="36" t="s">
        <v>105</v>
      </c>
      <c r="AX4" s="36" t="s">
        <v>104</v>
      </c>
      <c r="AY4" s="36" t="s">
        <v>105</v>
      </c>
      <c r="AZ4" s="37" t="s">
        <v>104</v>
      </c>
    </row>
    <row r="5" spans="3:52" ht="12.75" customHeight="1" thickBot="1">
      <c r="C5" s="158"/>
      <c r="D5" s="158"/>
      <c r="E5" s="158"/>
      <c r="G5" s="159" t="s">
        <v>106</v>
      </c>
      <c r="H5" s="104">
        <v>75</v>
      </c>
      <c r="I5" s="104">
        <v>30</v>
      </c>
      <c r="J5" s="104">
        <v>35</v>
      </c>
      <c r="L5" s="4"/>
      <c r="M5" s="4"/>
      <c r="P5" s="97"/>
      <c r="Q5" s="105" t="s">
        <v>107</v>
      </c>
      <c r="R5" s="105" t="s">
        <v>107</v>
      </c>
      <c r="S5" s="36"/>
      <c r="T5" s="106" t="s">
        <v>108</v>
      </c>
      <c r="U5" s="107"/>
      <c r="V5" s="107"/>
      <c r="W5" s="107"/>
      <c r="X5" s="107"/>
      <c r="Y5" s="107"/>
      <c r="Z5" s="108"/>
      <c r="AB5" s="97"/>
      <c r="AC5" s="105" t="s">
        <v>107</v>
      </c>
      <c r="AD5" s="105" t="s">
        <v>107</v>
      </c>
      <c r="AE5" s="36"/>
      <c r="AF5" s="106" t="s">
        <v>108</v>
      </c>
      <c r="AG5" s="107"/>
      <c r="AH5" s="107"/>
      <c r="AI5" s="107"/>
      <c r="AJ5" s="107"/>
      <c r="AK5" s="107"/>
      <c r="AL5" s="108"/>
      <c r="AN5" s="101"/>
      <c r="AO5" s="36"/>
      <c r="AP5" s="36"/>
      <c r="AQ5" s="36"/>
      <c r="AR5" s="36"/>
      <c r="AS5" s="36"/>
      <c r="AT5" s="37"/>
      <c r="AV5" s="101"/>
      <c r="AW5" s="36" t="s">
        <v>109</v>
      </c>
      <c r="AX5" s="36" t="s">
        <v>110</v>
      </c>
      <c r="AY5" s="36" t="s">
        <v>109</v>
      </c>
      <c r="AZ5" s="37" t="s">
        <v>110</v>
      </c>
    </row>
    <row r="6" spans="3:52" ht="12.75">
      <c r="C6" s="158"/>
      <c r="D6" s="158"/>
      <c r="E6" s="158"/>
      <c r="G6" s="164" t="s">
        <v>141</v>
      </c>
      <c r="H6" s="109">
        <v>30</v>
      </c>
      <c r="I6" s="109">
        <v>60</v>
      </c>
      <c r="J6" s="109">
        <v>110</v>
      </c>
      <c r="L6" s="4"/>
      <c r="P6" s="110" t="s">
        <v>91</v>
      </c>
      <c r="Q6" s="111">
        <f>$H$9</f>
        <v>25</v>
      </c>
      <c r="R6" s="112">
        <f aca="true" t="shared" si="2" ref="R6:R13">-$H$17+DEGREES(ASIN((SIN(RADIANS(90-$H$16+Q6))-SIN(RADIANS(90-$H$16)))/((SIN(RADIANS(90-$H$16+$H$9))-SIN(RADIANS(90-$H$16)))/(SIN(RADIANS($H$17+$H$7-90))-SIN(RADIANS($H$17-90))))+SIN(RADIANS($H$17-90))))+90</f>
        <v>60.00000000000001</v>
      </c>
      <c r="S6" s="112"/>
      <c r="T6" s="93">
        <f aca="true" t="shared" si="3" ref="T6:Z13">0.0000085*($H$4^2*$H$5*T$3^2*SIN(RADIANS($Q6))*(COS(RADIANS($H$17+$R6-90))/COS(RADIANS(90-$H$16+$Q6)))*(SIN(RADIANS(90-$H$16+$Q6))-SIN(RADIANS(90-$H$16)))/(SIN(RADIANS($H$17+$R6-90))-SIN(RADIANS($H$17-90))))</f>
        <v>4.42024993496792</v>
      </c>
      <c r="U6" s="93">
        <f t="shared" si="3"/>
        <v>6.906640523387375</v>
      </c>
      <c r="V6" s="93">
        <f t="shared" si="3"/>
        <v>9.94556235367782</v>
      </c>
      <c r="W6" s="93">
        <f t="shared" si="3"/>
        <v>13.537015425839256</v>
      </c>
      <c r="X6" s="93">
        <f t="shared" si="3"/>
        <v>17.68099973987168</v>
      </c>
      <c r="Y6" s="93">
        <f t="shared" si="3"/>
        <v>22.377515295775098</v>
      </c>
      <c r="Z6" s="113">
        <f t="shared" si="3"/>
        <v>27.6265620935495</v>
      </c>
      <c r="AB6" s="110" t="s">
        <v>91</v>
      </c>
      <c r="AC6" s="111">
        <f>$H$10</f>
        <v>15</v>
      </c>
      <c r="AD6" s="112">
        <f aca="true" t="shared" si="4" ref="AD6:AD13">$H$17-DEGREES(ASIN((SIN(RADIANS(90-$H$16+-AC6))-SIN(RADIANS(90-$H$16)))/((SIN(RADIANS(90-$H$16+$H$9))-SIN(RADIANS(90-$H$16)))/(SIN(RADIANS($H$17+$H$7-90))-SIN(RADIANS($H$17-90))))+SIN(RADIANS($H$17-90))))-90</f>
        <v>40</v>
      </c>
      <c r="AE6" s="112"/>
      <c r="AF6" s="93">
        <f aca="true" t="shared" si="5" ref="AF6:AL13">0.0000085*($H$4^2*$H$5*AF$3^2*SIN(RADIANS($AC6))*(COS(RADIANS($H$17+-$AD6-90))/COS(RADIANS(90-$H$16+-$AC6)))*(SIN(RADIANS(90-$H$16+-$AC6))-SIN(RADIANS(90-$H$16)))/(SIN(RADIANS($H$17+-$AD6-90))-SIN(RADIANS($H$17-90))))</f>
        <v>2.360853667003861</v>
      </c>
      <c r="AG6" s="93">
        <f t="shared" si="5"/>
        <v>3.688833854693533</v>
      </c>
      <c r="AH6" s="93">
        <f t="shared" si="5"/>
        <v>5.311920750758687</v>
      </c>
      <c r="AI6" s="93">
        <f t="shared" si="5"/>
        <v>7.2301143551993245</v>
      </c>
      <c r="AJ6" s="93">
        <f t="shared" si="5"/>
        <v>9.443414668015444</v>
      </c>
      <c r="AK6" s="93">
        <f t="shared" si="5"/>
        <v>11.951821689207046</v>
      </c>
      <c r="AL6" s="113">
        <f t="shared" si="5"/>
        <v>14.755335418774132</v>
      </c>
      <c r="AN6" s="101"/>
      <c r="AO6" s="102" t="s">
        <v>111</v>
      </c>
      <c r="AP6" s="102" t="s">
        <v>112</v>
      </c>
      <c r="AQ6" s="102" t="s">
        <v>113</v>
      </c>
      <c r="AR6" s="102" t="s">
        <v>114</v>
      </c>
      <c r="AS6" s="102" t="s">
        <v>115</v>
      </c>
      <c r="AT6" s="103" t="s">
        <v>116</v>
      </c>
      <c r="AV6" s="114" t="s">
        <v>117</v>
      </c>
      <c r="AW6" s="17">
        <f aca="true" t="shared" si="6" ref="AW6:AW13">$H$4*SIN(RADIANS($Q6))</f>
        <v>2.9583278321848963</v>
      </c>
      <c r="AX6" s="93">
        <f aca="true" t="shared" si="7" ref="AX6:AX13">100*$R6/$R$6</f>
        <v>100</v>
      </c>
      <c r="AY6" s="17">
        <f aca="true" t="shared" si="8" ref="AY6:AY13">$H$4*SIN(RADIANS($AC6))</f>
        <v>1.8117333157176452</v>
      </c>
      <c r="AZ6" s="113">
        <f aca="true" t="shared" si="9" ref="AZ6:AZ13">100*$AD6/$AD$6</f>
        <v>100</v>
      </c>
    </row>
    <row r="7" spans="3:52" ht="13.5" thickBot="1">
      <c r="C7" s="158"/>
      <c r="D7" s="158"/>
      <c r="E7" s="158"/>
      <c r="G7" s="159" t="s">
        <v>118</v>
      </c>
      <c r="H7" s="115">
        <v>60</v>
      </c>
      <c r="I7" s="115">
        <v>50</v>
      </c>
      <c r="J7" s="115">
        <v>60</v>
      </c>
      <c r="L7" s="4"/>
      <c r="P7" s="97"/>
      <c r="Q7" s="36">
        <f aca="true" t="shared" si="10" ref="Q7:Q13">Q6-0.13*$Q$6</f>
        <v>21.75</v>
      </c>
      <c r="R7" s="36">
        <f t="shared" si="2"/>
        <v>50.73195375837991</v>
      </c>
      <c r="S7" s="36"/>
      <c r="T7" s="36">
        <f t="shared" si="3"/>
        <v>4.414730037573428</v>
      </c>
      <c r="U7" s="36">
        <f t="shared" si="3"/>
        <v>6.898015683708483</v>
      </c>
      <c r="V7" s="36">
        <f t="shared" si="3"/>
        <v>9.933142584540217</v>
      </c>
      <c r="W7" s="36">
        <f t="shared" si="3"/>
        <v>13.52011074006863</v>
      </c>
      <c r="X7" s="36">
        <f t="shared" si="3"/>
        <v>17.658920150293714</v>
      </c>
      <c r="Y7" s="36">
        <f t="shared" si="3"/>
        <v>22.349570815215486</v>
      </c>
      <c r="Z7" s="37">
        <f t="shared" si="3"/>
        <v>27.59206273483393</v>
      </c>
      <c r="AB7" s="97"/>
      <c r="AC7" s="36">
        <f aca="true" t="shared" si="11" ref="AC7:AC13">AC6-0.13*$AC$6</f>
        <v>13.05</v>
      </c>
      <c r="AD7" s="36">
        <f t="shared" si="4"/>
        <v>33.57512110538411</v>
      </c>
      <c r="AE7" s="36"/>
      <c r="AF7" s="36">
        <f t="shared" si="5"/>
        <v>2.3193664462021744</v>
      </c>
      <c r="AG7" s="36">
        <f t="shared" si="5"/>
        <v>3.6240100721908974</v>
      </c>
      <c r="AH7" s="36">
        <f t="shared" si="5"/>
        <v>5.218574503954892</v>
      </c>
      <c r="AI7" s="36">
        <f t="shared" si="5"/>
        <v>7.103059741494159</v>
      </c>
      <c r="AJ7" s="36">
        <f t="shared" si="5"/>
        <v>9.277465784808697</v>
      </c>
      <c r="AK7" s="36">
        <f t="shared" si="5"/>
        <v>11.741792633898509</v>
      </c>
      <c r="AL7" s="37">
        <f t="shared" si="5"/>
        <v>14.49604028876359</v>
      </c>
      <c r="AN7" s="101" t="s">
        <v>119</v>
      </c>
      <c r="AO7" s="35">
        <f>((SIN(RADIANS(90-H16+H9))-SIN(RADIANS(90-H16)))/(SIN(RADIANS(H17+H7-90))-SIN(RADIANS(H17-90))))*$AR$4</f>
        <v>1.112464241640119</v>
      </c>
      <c r="AP7" s="35">
        <f>((SIN(RADIANS(90-I16+I9))-SIN(RADIANS(90-I16)))/(SIN(RADIANS(I17+I7-90))-SIN(RADIANS(I17-90))))*$AR$4</f>
        <v>1.3792221851318385</v>
      </c>
      <c r="AQ7" s="35">
        <f>((SIN(RADIANS(90-J16+J9))-SIN(RADIANS(90-J16)))/(SIN(RADIANS(J17+J7-90))-SIN(RADIANS(J17-90))))*$AR$4</f>
        <v>1.3252971850955844</v>
      </c>
      <c r="AR7" s="35">
        <f>AO7</f>
        <v>1.112464241640119</v>
      </c>
      <c r="AS7" s="35">
        <f>AP7</f>
        <v>1.3792221851318385</v>
      </c>
      <c r="AT7" s="116">
        <f>AQ7</f>
        <v>1.3252971850955844</v>
      </c>
      <c r="AV7" s="101"/>
      <c r="AW7" s="35">
        <f t="shared" si="6"/>
        <v>2.5939020625688536</v>
      </c>
      <c r="AX7" s="36">
        <f t="shared" si="7"/>
        <v>84.5532562639665</v>
      </c>
      <c r="AY7" s="35">
        <f t="shared" si="8"/>
        <v>1.580608868083726</v>
      </c>
      <c r="AZ7" s="37">
        <f t="shared" si="9"/>
        <v>83.93780276346028</v>
      </c>
    </row>
    <row r="8" spans="3:52" ht="12.75">
      <c r="C8" s="158"/>
      <c r="D8" s="158"/>
      <c r="E8" s="158"/>
      <c r="G8" s="159" t="s">
        <v>120</v>
      </c>
      <c r="H8" s="115">
        <f>100-H7</f>
        <v>40</v>
      </c>
      <c r="I8" s="115">
        <v>50</v>
      </c>
      <c r="J8" s="115">
        <v>60</v>
      </c>
      <c r="L8" s="4"/>
      <c r="P8" s="97"/>
      <c r="Q8" s="36">
        <f t="shared" si="10"/>
        <v>18.5</v>
      </c>
      <c r="R8" s="36">
        <f t="shared" si="2"/>
        <v>42.37466862962866</v>
      </c>
      <c r="S8" s="36"/>
      <c r="T8" s="36">
        <f t="shared" si="3"/>
        <v>4.098581167504767</v>
      </c>
      <c r="U8" s="36">
        <f t="shared" si="3"/>
        <v>6.404033074226198</v>
      </c>
      <c r="V8" s="36">
        <f t="shared" si="3"/>
        <v>9.221807626885726</v>
      </c>
      <c r="W8" s="36">
        <f t="shared" si="3"/>
        <v>12.551904825483346</v>
      </c>
      <c r="X8" s="36">
        <f t="shared" si="3"/>
        <v>16.394324670019067</v>
      </c>
      <c r="Y8" s="36">
        <f t="shared" si="3"/>
        <v>20.74906716049288</v>
      </c>
      <c r="Z8" s="37">
        <f t="shared" si="3"/>
        <v>25.61613229690479</v>
      </c>
      <c r="AB8" s="97"/>
      <c r="AC8" s="36">
        <f t="shared" si="11"/>
        <v>11.100000000000001</v>
      </c>
      <c r="AD8" s="36">
        <f t="shared" si="4"/>
        <v>27.767415980290494</v>
      </c>
      <c r="AE8" s="36"/>
      <c r="AF8" s="36">
        <f t="shared" si="5"/>
        <v>2.154074679056681</v>
      </c>
      <c r="AG8" s="36">
        <f t="shared" si="5"/>
        <v>3.3657416860260647</v>
      </c>
      <c r="AH8" s="36">
        <f t="shared" si="5"/>
        <v>4.8466680278775325</v>
      </c>
      <c r="AI8" s="36">
        <f t="shared" si="5"/>
        <v>6.596853704611086</v>
      </c>
      <c r="AJ8" s="36">
        <f t="shared" si="5"/>
        <v>8.616298716226725</v>
      </c>
      <c r="AK8" s="36">
        <f t="shared" si="5"/>
        <v>10.905003062724447</v>
      </c>
      <c r="AL8" s="37">
        <f t="shared" si="5"/>
        <v>13.462966744104259</v>
      </c>
      <c r="AN8" s="114" t="s">
        <v>121</v>
      </c>
      <c r="AO8" s="17"/>
      <c r="AP8" s="17"/>
      <c r="AQ8" s="17"/>
      <c r="AR8" s="17"/>
      <c r="AS8" s="17"/>
      <c r="AT8" s="18"/>
      <c r="AV8" s="101"/>
      <c r="AW8" s="35">
        <f t="shared" si="6"/>
        <v>2.221132594835645</v>
      </c>
      <c r="AX8" s="36">
        <f t="shared" si="7"/>
        <v>70.62444771604775</v>
      </c>
      <c r="AY8" s="35">
        <f t="shared" si="8"/>
        <v>1.347653765681352</v>
      </c>
      <c r="AZ8" s="37">
        <f t="shared" si="9"/>
        <v>69.41853995072623</v>
      </c>
    </row>
    <row r="9" spans="3:52" ht="12.75">
      <c r="C9" s="158"/>
      <c r="D9" s="158"/>
      <c r="E9" s="158"/>
      <c r="G9" s="159" t="s">
        <v>122</v>
      </c>
      <c r="H9" s="117">
        <v>25</v>
      </c>
      <c r="I9" s="117">
        <v>25</v>
      </c>
      <c r="J9" s="117">
        <v>30</v>
      </c>
      <c r="L9" s="4"/>
      <c r="P9" s="97"/>
      <c r="Q9" s="36">
        <f t="shared" si="10"/>
        <v>15.25</v>
      </c>
      <c r="R9" s="36">
        <f t="shared" si="2"/>
        <v>34.54605909820312</v>
      </c>
      <c r="S9" s="36"/>
      <c r="T9" s="36">
        <f t="shared" si="3"/>
        <v>3.5776479244555457</v>
      </c>
      <c r="U9" s="36">
        <f t="shared" si="3"/>
        <v>5.59007488196179</v>
      </c>
      <c r="V9" s="36">
        <f t="shared" si="3"/>
        <v>8.049707830024978</v>
      </c>
      <c r="W9" s="36">
        <f t="shared" si="3"/>
        <v>10.956546768645106</v>
      </c>
      <c r="X9" s="36">
        <f t="shared" si="3"/>
        <v>14.310591697822183</v>
      </c>
      <c r="Y9" s="36">
        <f t="shared" si="3"/>
        <v>18.111842617556203</v>
      </c>
      <c r="Z9" s="37">
        <f t="shared" si="3"/>
        <v>22.36029952784716</v>
      </c>
      <c r="AB9" s="97"/>
      <c r="AC9" s="36">
        <f t="shared" si="11"/>
        <v>9.150000000000002</v>
      </c>
      <c r="AD9" s="36">
        <f t="shared" si="4"/>
        <v>22.37622386144409</v>
      </c>
      <c r="AE9" s="36"/>
      <c r="AF9" s="36">
        <f t="shared" si="5"/>
        <v>1.8977060687505884</v>
      </c>
      <c r="AG9" s="36">
        <f t="shared" si="5"/>
        <v>2.9651657324227947</v>
      </c>
      <c r="AH9" s="36">
        <f t="shared" si="5"/>
        <v>4.269838654688825</v>
      </c>
      <c r="AI9" s="36">
        <f t="shared" si="5"/>
        <v>5.811724835548678</v>
      </c>
      <c r="AJ9" s="36">
        <f t="shared" si="5"/>
        <v>7.590824275002354</v>
      </c>
      <c r="AK9" s="36">
        <f t="shared" si="5"/>
        <v>9.607136973049856</v>
      </c>
      <c r="AL9" s="37">
        <f t="shared" si="5"/>
        <v>11.860662929691179</v>
      </c>
      <c r="AN9" s="101" t="s">
        <v>33</v>
      </c>
      <c r="AO9" s="35">
        <f>$AO$4+$AR$4*SIN(RADIANS(H$13-H$16))-$AQ$4*SIN(RADIANS(H$13))+AO$7*COS(RADIANS(-90+H$17+H$13))</f>
        <v>4.226667162609092</v>
      </c>
      <c r="AP9" s="35">
        <f>$AO$4+$AR$4*SIN(RADIANS(I$13-I$16))-$AQ$4*SIN(RADIANS(I$13))+AP$7*COS(RADIANS(-90+I$17+I$13))</f>
        <v>4.569315304369173</v>
      </c>
      <c r="AQ9" s="35">
        <f>$AO$4+$AR$4*SIN(RADIANS(J$13-J$16))-$AQ$4*SIN(RADIANS(J$13))+AQ$7*COS(RADIANS(-90+J$17+J$13))</f>
        <v>4.818457684353813</v>
      </c>
      <c r="AR9" s="35">
        <f>$AP$4-$AR$4*COS(RADIANS(H$13-H$16))+$AQ$4*COS(RADIANS(H$13))+AR$7*SIN(RADIANS(-90+H$17+H$13))</f>
        <v>5.589127488553416</v>
      </c>
      <c r="AS9" s="35">
        <f>$AP$4-$AR$4*COS(RADIANS(I$13-I$16))+$AQ$4*COS(RADIANS(I$13))+AS$7*SIN(RADIANS(-90+I$17+I$13))</f>
        <v>3.4935777791277447</v>
      </c>
      <c r="AT9" s="116">
        <f>$AP$4-$AR$4*COS(RADIANS(J$13-J$16))+$AQ$4*COS(RADIANS(J$13))+AT$7*SIN(RADIANS(-90+J$17+J$13))</f>
        <v>6.0549264712360165</v>
      </c>
      <c r="AV9" s="101"/>
      <c r="AW9" s="35">
        <f t="shared" si="6"/>
        <v>1.8412185012058235</v>
      </c>
      <c r="AX9" s="36">
        <f t="shared" si="7"/>
        <v>57.576765163671865</v>
      </c>
      <c r="AY9" s="35">
        <f t="shared" si="8"/>
        <v>1.1131378161635495</v>
      </c>
      <c r="AZ9" s="37">
        <f t="shared" si="9"/>
        <v>55.940559653610215</v>
      </c>
    </row>
    <row r="10" spans="3:52" ht="12.75">
      <c r="C10" s="158"/>
      <c r="D10" s="158"/>
      <c r="E10" s="158"/>
      <c r="G10" s="159" t="s">
        <v>123</v>
      </c>
      <c r="H10" s="117">
        <v>15</v>
      </c>
      <c r="I10" s="117">
        <v>25</v>
      </c>
      <c r="J10" s="117">
        <v>30</v>
      </c>
      <c r="L10" s="4"/>
      <c r="P10" s="97"/>
      <c r="Q10" s="36">
        <f t="shared" si="10"/>
        <v>12</v>
      </c>
      <c r="R10" s="36">
        <f t="shared" si="2"/>
        <v>27.033123351318466</v>
      </c>
      <c r="S10" s="36"/>
      <c r="T10" s="36">
        <f t="shared" si="3"/>
        <v>2.918591096166507</v>
      </c>
      <c r="U10" s="36">
        <f t="shared" si="3"/>
        <v>4.560298587760167</v>
      </c>
      <c r="V10" s="36">
        <f t="shared" si="3"/>
        <v>6.566829966374641</v>
      </c>
      <c r="W10" s="36">
        <f t="shared" si="3"/>
        <v>8.938185232009928</v>
      </c>
      <c r="X10" s="36">
        <f t="shared" si="3"/>
        <v>11.674364384666028</v>
      </c>
      <c r="Y10" s="36">
        <f t="shared" si="3"/>
        <v>14.775367424342942</v>
      </c>
      <c r="Z10" s="37">
        <f t="shared" si="3"/>
        <v>18.24119435104067</v>
      </c>
      <c r="AB10" s="97"/>
      <c r="AC10" s="36">
        <f t="shared" si="11"/>
        <v>7.200000000000002</v>
      </c>
      <c r="AD10" s="36">
        <f t="shared" si="4"/>
        <v>17.282807437380285</v>
      </c>
      <c r="AE10" s="36"/>
      <c r="AF10" s="36">
        <f t="shared" si="5"/>
        <v>1.5721020449143144</v>
      </c>
      <c r="AG10" s="36">
        <f t="shared" si="5"/>
        <v>2.456409445178616</v>
      </c>
      <c r="AH10" s="36">
        <f t="shared" si="5"/>
        <v>3.5372296010572075</v>
      </c>
      <c r="AI10" s="36">
        <f t="shared" si="5"/>
        <v>4.814562512550088</v>
      </c>
      <c r="AJ10" s="36">
        <f t="shared" si="5"/>
        <v>6.2884081796572575</v>
      </c>
      <c r="AK10" s="36">
        <f t="shared" si="5"/>
        <v>7.9587666023787165</v>
      </c>
      <c r="AL10" s="37">
        <f t="shared" si="5"/>
        <v>9.825637780714464</v>
      </c>
      <c r="AN10" s="101" t="s">
        <v>124</v>
      </c>
      <c r="AO10" s="35">
        <f>$AO$4+$AR$4*SIN(RADIANS(H$13-H$16))-$AQ$4*SIN(RADIANS(H$13))</f>
        <v>4</v>
      </c>
      <c r="AP10" s="35">
        <f>$AO$4+$AR$4*SIN(RADIANS(I$13-I$16))-$AQ$4*SIN(RADIANS(I$13))</f>
        <v>4.903381799830868</v>
      </c>
      <c r="AQ10" s="35">
        <f>$AO$4+$AR$4*SIN(RADIANS(J$13-J$16))-$AQ$4*SIN(RADIANS(J$13))</f>
        <v>5.118033988749895</v>
      </c>
      <c r="AR10" s="35">
        <f>$AP$4-$AR$4*COS(RADIANS(H$13-H$16))+$AQ$4*COS(RADIANS(H$13))</f>
        <v>4.500000000000001</v>
      </c>
      <c r="AS10" s="35">
        <f>$AP$4-$AR$4*COS(RADIANS(I$13-I$16))+$AQ$4*COS(RADIANS(I$13))</f>
        <v>2.1554247936399924</v>
      </c>
      <c r="AT10" s="116">
        <f>$AP$4-$AR$4*COS(RADIANS(J$13-J$16))+$AQ$4*COS(RADIANS(J$13))</f>
        <v>4.763932022500211</v>
      </c>
      <c r="AV10" s="101"/>
      <c r="AW10" s="35">
        <f t="shared" si="6"/>
        <v>1.4553818357243153</v>
      </c>
      <c r="AX10" s="36">
        <f t="shared" si="7"/>
        <v>45.055205585530764</v>
      </c>
      <c r="AY10" s="35">
        <f t="shared" si="8"/>
        <v>0.87733263495013</v>
      </c>
      <c r="AZ10" s="37">
        <f t="shared" si="9"/>
        <v>43.20701859345071</v>
      </c>
    </row>
    <row r="11" spans="3:52" ht="12.75">
      <c r="C11" s="158"/>
      <c r="D11" s="158"/>
      <c r="E11" s="158"/>
      <c r="G11" s="164" t="s">
        <v>142</v>
      </c>
      <c r="H11" s="118"/>
      <c r="I11" s="118">
        <v>1</v>
      </c>
      <c r="J11" s="118">
        <v>2</v>
      </c>
      <c r="L11" s="4"/>
      <c r="P11" s="97"/>
      <c r="Q11" s="36">
        <f t="shared" si="10"/>
        <v>8.75</v>
      </c>
      <c r="R11" s="36">
        <f t="shared" si="2"/>
        <v>19.694906272910174</v>
      </c>
      <c r="S11" s="36"/>
      <c r="T11" s="36">
        <f t="shared" si="3"/>
        <v>2.169804171316528</v>
      </c>
      <c r="U11" s="36">
        <f t="shared" si="3"/>
        <v>3.3903190176820766</v>
      </c>
      <c r="V11" s="36">
        <f t="shared" si="3"/>
        <v>4.882059385462189</v>
      </c>
      <c r="W11" s="36">
        <f t="shared" si="3"/>
        <v>6.645025274656868</v>
      </c>
      <c r="X11" s="36">
        <f t="shared" si="3"/>
        <v>8.679216685266113</v>
      </c>
      <c r="Y11" s="36">
        <f t="shared" si="3"/>
        <v>10.984633617289928</v>
      </c>
      <c r="Z11" s="37">
        <f t="shared" si="3"/>
        <v>13.561276070728306</v>
      </c>
      <c r="AB11" s="97"/>
      <c r="AC11" s="36">
        <f t="shared" si="11"/>
        <v>5.250000000000002</v>
      </c>
      <c r="AD11" s="36">
        <f t="shared" si="4"/>
        <v>12.409456680960503</v>
      </c>
      <c r="AE11" s="36"/>
      <c r="AF11" s="36">
        <f t="shared" si="5"/>
        <v>1.193286686079027</v>
      </c>
      <c r="AG11" s="36">
        <f t="shared" si="5"/>
        <v>1.8645104469984801</v>
      </c>
      <c r="AH11" s="36">
        <f t="shared" si="5"/>
        <v>2.6848950436778107</v>
      </c>
      <c r="AI11" s="36">
        <f t="shared" si="5"/>
        <v>3.6544404761170206</v>
      </c>
      <c r="AJ11" s="36">
        <f t="shared" si="5"/>
        <v>4.773146744316108</v>
      </c>
      <c r="AK11" s="36">
        <f t="shared" si="5"/>
        <v>6.041013848275075</v>
      </c>
      <c r="AL11" s="37">
        <f t="shared" si="5"/>
        <v>7.4580417879939205</v>
      </c>
      <c r="AN11" s="101" t="s">
        <v>125</v>
      </c>
      <c r="AO11" s="35">
        <f aca="true" t="shared" si="12" ref="AO11:AQ12">$AO$4+$AR$4*SIN(RADIANS(H$13-H$16))</f>
        <v>14</v>
      </c>
      <c r="AP11" s="35">
        <f t="shared" si="12"/>
        <v>14.606339062590832</v>
      </c>
      <c r="AQ11" s="35">
        <f t="shared" si="12"/>
        <v>15.118033988749895</v>
      </c>
      <c r="AR11" s="35">
        <f>$AP$4-$AR$4*COS(RADIANS(H$13-H$16))</f>
        <v>4.5</v>
      </c>
      <c r="AS11" s="35">
        <f>$AP$4-$AR$4*COS(RADIANS(I$13-I$16))</f>
        <v>4.57464374963667</v>
      </c>
      <c r="AT11" s="116">
        <f>$AP$4-$AR$4*COS(RADIANS(J$13-J$16))</f>
        <v>4.76393202250021</v>
      </c>
      <c r="AV11" s="101"/>
      <c r="AW11" s="35">
        <f t="shared" si="6"/>
        <v>1.0648637033294168</v>
      </c>
      <c r="AX11" s="36">
        <f t="shared" si="7"/>
        <v>32.82484378818362</v>
      </c>
      <c r="AY11" s="35">
        <f t="shared" si="8"/>
        <v>0.6405113306438168</v>
      </c>
      <c r="AZ11" s="37">
        <f t="shared" si="9"/>
        <v>31.023641702401257</v>
      </c>
    </row>
    <row r="12" spans="3:52" ht="12.75">
      <c r="C12" s="158"/>
      <c r="D12" s="158"/>
      <c r="E12" s="158"/>
      <c r="G12" s="164" t="s">
        <v>143</v>
      </c>
      <c r="H12" s="118"/>
      <c r="I12" s="118">
        <v>4</v>
      </c>
      <c r="J12" s="118">
        <v>4</v>
      </c>
      <c r="L12" s="4"/>
      <c r="P12" s="97"/>
      <c r="Q12" s="36">
        <f t="shared" si="10"/>
        <v>5.5</v>
      </c>
      <c r="R12" s="36">
        <f t="shared" si="2"/>
        <v>12.42331226909468</v>
      </c>
      <c r="S12" s="36"/>
      <c r="T12" s="36">
        <f t="shared" si="3"/>
        <v>1.3704707044200715</v>
      </c>
      <c r="U12" s="36">
        <f t="shared" si="3"/>
        <v>2.141360475656362</v>
      </c>
      <c r="V12" s="36">
        <f t="shared" si="3"/>
        <v>3.083559084945161</v>
      </c>
      <c r="W12" s="36">
        <f t="shared" si="3"/>
        <v>4.197066532286469</v>
      </c>
      <c r="X12" s="36">
        <f t="shared" si="3"/>
        <v>5.481882817680286</v>
      </c>
      <c r="Y12" s="36">
        <f t="shared" si="3"/>
        <v>6.938007941126611</v>
      </c>
      <c r="Z12" s="37">
        <f t="shared" si="3"/>
        <v>8.565441902625448</v>
      </c>
      <c r="AB12" s="97"/>
      <c r="AC12" s="36">
        <f t="shared" si="11"/>
        <v>3.3000000000000016</v>
      </c>
      <c r="AD12" s="36">
        <f t="shared" si="4"/>
        <v>7.701411583394176</v>
      </c>
      <c r="AE12" s="36"/>
      <c r="AF12" s="36">
        <f t="shared" si="5"/>
        <v>0.7738444183951106</v>
      </c>
      <c r="AG12" s="36">
        <f t="shared" si="5"/>
        <v>1.2091319037423602</v>
      </c>
      <c r="AH12" s="36">
        <f t="shared" si="5"/>
        <v>1.7411499413889986</v>
      </c>
      <c r="AI12" s="36">
        <f t="shared" si="5"/>
        <v>2.3698985313350263</v>
      </c>
      <c r="AJ12" s="36">
        <f t="shared" si="5"/>
        <v>3.0953776735804426</v>
      </c>
      <c r="AK12" s="36">
        <f t="shared" si="5"/>
        <v>3.9175873681252473</v>
      </c>
      <c r="AL12" s="37">
        <f t="shared" si="5"/>
        <v>4.836527614969441</v>
      </c>
      <c r="AN12" s="101" t="s">
        <v>126</v>
      </c>
      <c r="AO12" s="35">
        <f t="shared" si="12"/>
        <v>14</v>
      </c>
      <c r="AP12" s="35">
        <f t="shared" si="12"/>
        <v>14.606339062590832</v>
      </c>
      <c r="AQ12" s="35">
        <f t="shared" si="12"/>
        <v>15.118033988749895</v>
      </c>
      <c r="AR12" s="35">
        <f aca="true" t="shared" si="13" ref="AR12:AT13">$AP$4</f>
        <v>7</v>
      </c>
      <c r="AS12" s="35">
        <f t="shared" si="13"/>
        <v>7</v>
      </c>
      <c r="AT12" s="116">
        <f t="shared" si="13"/>
        <v>7</v>
      </c>
      <c r="AV12" s="101"/>
      <c r="AW12" s="35">
        <f t="shared" si="6"/>
        <v>0.6709202676415679</v>
      </c>
      <c r="AX12" s="36">
        <f t="shared" si="7"/>
        <v>20.705520448491132</v>
      </c>
      <c r="AY12" s="35">
        <f t="shared" si="8"/>
        <v>0.40294818871697113</v>
      </c>
      <c r="AZ12" s="37">
        <f t="shared" si="9"/>
        <v>19.25352895848544</v>
      </c>
    </row>
    <row r="13" spans="3:52" ht="13.5" thickBot="1">
      <c r="C13" s="158"/>
      <c r="D13" s="158"/>
      <c r="E13" s="158"/>
      <c r="G13" s="159" t="s">
        <v>127</v>
      </c>
      <c r="H13" s="118">
        <v>90</v>
      </c>
      <c r="I13" s="118">
        <v>104</v>
      </c>
      <c r="J13" s="118">
        <v>90</v>
      </c>
      <c r="L13" s="4"/>
      <c r="O13" s="4"/>
      <c r="P13" s="119"/>
      <c r="Q13" s="36">
        <f t="shared" si="10"/>
        <v>2.25</v>
      </c>
      <c r="R13" s="36">
        <f t="shared" si="2"/>
        <v>5.122553297996575</v>
      </c>
      <c r="S13" s="36"/>
      <c r="T13" s="36">
        <f t="shared" si="3"/>
        <v>0.5555049266587202</v>
      </c>
      <c r="U13" s="36">
        <f t="shared" si="3"/>
        <v>0.8679764479042499</v>
      </c>
      <c r="V13" s="36">
        <f t="shared" si="3"/>
        <v>1.2498860849821203</v>
      </c>
      <c r="W13" s="36">
        <f t="shared" si="3"/>
        <v>1.7012338378923302</v>
      </c>
      <c r="X13" s="36">
        <f t="shared" si="3"/>
        <v>2.222019706634881</v>
      </c>
      <c r="Y13" s="36">
        <f t="shared" si="3"/>
        <v>2.81224369120977</v>
      </c>
      <c r="Z13" s="37">
        <f t="shared" si="3"/>
        <v>3.4719057916169995</v>
      </c>
      <c r="AB13" s="119"/>
      <c r="AC13" s="36">
        <f t="shared" si="11"/>
        <v>1.3500000000000014</v>
      </c>
      <c r="AD13" s="36">
        <f t="shared" si="4"/>
        <v>3.117711455903816</v>
      </c>
      <c r="AE13" s="36"/>
      <c r="AF13" s="36">
        <f t="shared" si="5"/>
        <v>0.3241992363683948</v>
      </c>
      <c r="AG13" s="36">
        <f t="shared" si="5"/>
        <v>0.506561306825617</v>
      </c>
      <c r="AH13" s="36">
        <f t="shared" si="5"/>
        <v>0.7294482818288884</v>
      </c>
      <c r="AI13" s="36">
        <f t="shared" si="5"/>
        <v>0.9928601613782091</v>
      </c>
      <c r="AJ13" s="36">
        <f t="shared" si="5"/>
        <v>1.2967969454735793</v>
      </c>
      <c r="AK13" s="36">
        <f t="shared" si="5"/>
        <v>1.6412586341149986</v>
      </c>
      <c r="AL13" s="37">
        <f t="shared" si="5"/>
        <v>2.026245227302468</v>
      </c>
      <c r="AN13" s="101" t="s">
        <v>31</v>
      </c>
      <c r="AO13" s="35">
        <f>$AO$4</f>
        <v>14</v>
      </c>
      <c r="AP13" s="35">
        <f>$AO$4</f>
        <v>14</v>
      </c>
      <c r="AQ13" s="35">
        <f>$AO$4</f>
        <v>14</v>
      </c>
      <c r="AR13" s="35">
        <f t="shared" si="13"/>
        <v>7</v>
      </c>
      <c r="AS13" s="35">
        <f t="shared" si="13"/>
        <v>7</v>
      </c>
      <c r="AT13" s="116">
        <f t="shared" si="13"/>
        <v>7</v>
      </c>
      <c r="AV13" s="120"/>
      <c r="AW13" s="28">
        <f t="shared" si="6"/>
        <v>0.27481871031348026</v>
      </c>
      <c r="AX13" s="50">
        <f t="shared" si="7"/>
        <v>8.53758882999429</v>
      </c>
      <c r="AY13" s="28">
        <f t="shared" si="8"/>
        <v>0.16491835383527126</v>
      </c>
      <c r="AZ13" s="51">
        <f t="shared" si="9"/>
        <v>7.79427863975954</v>
      </c>
    </row>
    <row r="14" spans="3:52" ht="13.5" thickBot="1">
      <c r="C14" s="158"/>
      <c r="D14" s="158"/>
      <c r="E14" s="158"/>
      <c r="O14" s="4"/>
      <c r="P14" s="110" t="s">
        <v>92</v>
      </c>
      <c r="Q14" s="111">
        <f>$I$9</f>
        <v>25</v>
      </c>
      <c r="R14" s="112">
        <f aca="true" t="shared" si="14" ref="R14:R21">-$I$17+DEGREES(ASIN((SIN(RADIANS(90-$I$16+Q14))-SIN(RADIANS(90-$I$16)))/((SIN(RADIANS(90-$I$16+$I$9))-SIN(RADIANS(90-$I$16)))/(SIN(RADIANS($I$17+$I$7-90))-SIN(RADIANS($I$17-90))))+SIN(RADIANS($I$17-90))))+90</f>
        <v>50.00000000000002</v>
      </c>
      <c r="S14" s="112"/>
      <c r="T14" s="93">
        <f aca="true" t="shared" si="15" ref="T14:Z21">0.0000085*($I$4^2*$I$5*T$3^2*SIN(RADIANS($Q14))*(COS(RADIANS($I$17+$R14-90))/COS(RADIANS(90-$I$16+$Q14)))*(SIN(RADIANS(90-$I$16+$Q14))-SIN(RADIANS(90-$I$16)))/(SIN(RADIANS($I$17+$R14-90))-SIN(RADIANS($I$17-90))))</f>
        <v>7.296819788027262</v>
      </c>
      <c r="U14" s="93">
        <f t="shared" si="15"/>
        <v>11.401280918792596</v>
      </c>
      <c r="V14" s="93">
        <f t="shared" si="15"/>
        <v>16.417844523061337</v>
      </c>
      <c r="W14" s="93">
        <f t="shared" si="15"/>
        <v>22.346510600833486</v>
      </c>
      <c r="X14" s="93">
        <f t="shared" si="15"/>
        <v>29.18727915210905</v>
      </c>
      <c r="Y14" s="93">
        <f t="shared" si="15"/>
        <v>36.94015017688801</v>
      </c>
      <c r="Z14" s="113">
        <f t="shared" si="15"/>
        <v>45.60512367517038</v>
      </c>
      <c r="AB14" s="110" t="s">
        <v>92</v>
      </c>
      <c r="AC14" s="111">
        <f>$I$10</f>
        <v>25</v>
      </c>
      <c r="AD14" s="112">
        <f aca="true" t="shared" si="16" ref="AD14:AD21">$I$17-DEGREES(ASIN((SIN(RADIANS(90-$I$16+-AC14))-SIN(RADIANS(90-$I$16)))/((SIN(RADIANS(90-$I$16+$I$9))-SIN(RADIANS(90-$I$16)))/(SIN(RADIANS($I$17+$I$7-90))-SIN(RADIANS($I$17-90))))+SIN(RADIANS($I$17-90))))-90</f>
        <v>50</v>
      </c>
      <c r="AE14" s="112"/>
      <c r="AF14" s="93">
        <f aca="true" t="shared" si="17" ref="AF14:AL21">0.0000085*($I$4^2*$I$5*AF$3^2*SIN(RADIANS($AC14))*(COS(RADIANS($I$17+-$AD14-90))/COS(RADIANS(90-$I$16+-$AC14)))*(SIN(RADIANS(90-$I$16+-$AC14))-SIN(RADIANS(90-$I$16)))/(SIN(RADIANS($I$17+-$AD14-90))-SIN(RADIANS($I$17-90))))</f>
        <v>7.297745603186542</v>
      </c>
      <c r="AG14" s="93">
        <f t="shared" si="17"/>
        <v>11.402727504978971</v>
      </c>
      <c r="AH14" s="93">
        <f t="shared" si="17"/>
        <v>16.41992760716972</v>
      </c>
      <c r="AI14" s="93">
        <f t="shared" si="17"/>
        <v>22.34934590975878</v>
      </c>
      <c r="AJ14" s="93">
        <f t="shared" si="17"/>
        <v>29.19098241274617</v>
      </c>
      <c r="AK14" s="93">
        <f t="shared" si="17"/>
        <v>36.944837116131865</v>
      </c>
      <c r="AL14" s="113">
        <f t="shared" si="17"/>
        <v>45.610910019915885</v>
      </c>
      <c r="AN14" s="120" t="s">
        <v>35</v>
      </c>
      <c r="AO14" s="28">
        <f>AO$13+$AS$4</f>
        <v>19</v>
      </c>
      <c r="AP14" s="28">
        <f>AP$13+$AS$4</f>
        <v>19</v>
      </c>
      <c r="AQ14" s="28">
        <f>AQ$13+$AS$4</f>
        <v>19</v>
      </c>
      <c r="AR14" s="28">
        <f>AR$13</f>
        <v>7</v>
      </c>
      <c r="AS14" s="28">
        <f>AS$13</f>
        <v>7</v>
      </c>
      <c r="AT14" s="29">
        <f>AT$13</f>
        <v>7</v>
      </c>
      <c r="AV14" s="114" t="s">
        <v>128</v>
      </c>
      <c r="AW14" s="17">
        <f aca="true" t="shared" si="18" ref="AW14:AW21">$I$4*SIN(RADIANS($Q14))</f>
        <v>5.494037402629092</v>
      </c>
      <c r="AX14" s="93">
        <f aca="true" t="shared" si="19" ref="AX14:AX21">100*$R14/$R$14</f>
        <v>100</v>
      </c>
      <c r="AY14" s="17">
        <f aca="true" t="shared" si="20" ref="AY14:AY21">$I$4*SIN(RADIANS($AC14))</f>
        <v>5.494037402629092</v>
      </c>
      <c r="AZ14" s="113">
        <f aca="true" t="shared" si="21" ref="AZ14:AZ21">100*$AD14/$AD$14</f>
        <v>100</v>
      </c>
    </row>
    <row r="15" spans="3:52" ht="12.75">
      <c r="C15" s="158"/>
      <c r="D15" s="158"/>
      <c r="E15" s="158"/>
      <c r="G15" s="159" t="s">
        <v>129</v>
      </c>
      <c r="H15" s="121">
        <f>MAX(Z6:Z13,AL6:AL13)</f>
        <v>27.6265620935495</v>
      </c>
      <c r="I15" s="121">
        <f>MAX(Z14:Z21,AL14:AL21)</f>
        <v>45.610910019915885</v>
      </c>
      <c r="J15" s="121">
        <f>MAX(Z22:Z29,AL22:AL29)</f>
        <v>114.85781143771695</v>
      </c>
      <c r="O15" s="4"/>
      <c r="P15" s="97"/>
      <c r="Q15" s="36">
        <f aca="true" t="shared" si="22" ref="Q15:Q21">Q14-0.13*$Q$14</f>
        <v>21.75</v>
      </c>
      <c r="R15" s="36">
        <f t="shared" si="14"/>
        <v>42.196434873415775</v>
      </c>
      <c r="S15" s="36"/>
      <c r="T15" s="36">
        <f t="shared" si="15"/>
        <v>7.1956387355032625</v>
      </c>
      <c r="U15" s="36">
        <f t="shared" si="15"/>
        <v>11.243185524223847</v>
      </c>
      <c r="V15" s="36">
        <f t="shared" si="15"/>
        <v>16.19018715488234</v>
      </c>
      <c r="W15" s="36">
        <f t="shared" si="15"/>
        <v>22.03664362747874</v>
      </c>
      <c r="X15" s="36">
        <f t="shared" si="15"/>
        <v>28.78255494201305</v>
      </c>
      <c r="Y15" s="36">
        <f t="shared" si="15"/>
        <v>36.42792109848527</v>
      </c>
      <c r="Z15" s="37">
        <f t="shared" si="15"/>
        <v>44.97274209689539</v>
      </c>
      <c r="AB15" s="97"/>
      <c r="AC15" s="36">
        <f aca="true" t="shared" si="23" ref="AC15:AC21">AC14-0.13*$AC$14</f>
        <v>21.75</v>
      </c>
      <c r="AD15" s="36">
        <f t="shared" si="16"/>
        <v>42.19700540368248</v>
      </c>
      <c r="AE15" s="36"/>
      <c r="AF15" s="36">
        <f t="shared" si="17"/>
        <v>7.195865821417659</v>
      </c>
      <c r="AG15" s="36">
        <f t="shared" si="17"/>
        <v>11.24354034596509</v>
      </c>
      <c r="AH15" s="36">
        <f t="shared" si="17"/>
        <v>16.19069809818973</v>
      </c>
      <c r="AI15" s="36">
        <f t="shared" si="17"/>
        <v>22.037339078091577</v>
      </c>
      <c r="AJ15" s="36">
        <f t="shared" si="17"/>
        <v>28.783463285670635</v>
      </c>
      <c r="AK15" s="36">
        <f t="shared" si="17"/>
        <v>36.42907072092689</v>
      </c>
      <c r="AL15" s="37">
        <f t="shared" si="17"/>
        <v>44.97416138386036</v>
      </c>
      <c r="AN15" s="114" t="s">
        <v>100</v>
      </c>
      <c r="AO15" s="93"/>
      <c r="AP15" s="93"/>
      <c r="AQ15" s="93"/>
      <c r="AR15" s="93"/>
      <c r="AS15" s="93"/>
      <c r="AT15" s="113"/>
      <c r="AV15" s="101"/>
      <c r="AW15" s="35">
        <f t="shared" si="18"/>
        <v>4.817246687627871</v>
      </c>
      <c r="AX15" s="36">
        <f t="shared" si="19"/>
        <v>84.39286974683151</v>
      </c>
      <c r="AY15" s="35">
        <f t="shared" si="20"/>
        <v>4.817246687627871</v>
      </c>
      <c r="AZ15" s="37">
        <f t="shared" si="21"/>
        <v>84.39401080736496</v>
      </c>
    </row>
    <row r="16" spans="3:52" ht="12.75">
      <c r="C16" s="158"/>
      <c r="D16" s="158"/>
      <c r="E16" s="158"/>
      <c r="G16" s="159" t="s">
        <v>130</v>
      </c>
      <c r="H16" s="122">
        <f>H13-IF(H12=0,0,DEGREES(ATAN(H11/H12)))</f>
        <v>90</v>
      </c>
      <c r="I16" s="122">
        <f>I13-IF(I12=0,0,DEGREES(ATAN(I11/I12)))</f>
        <v>89.96375653207352</v>
      </c>
      <c r="J16" s="122">
        <f>J13-IF(J12=0,0,DEGREES(ATAN(J11/J12)))</f>
        <v>63.43494882292201</v>
      </c>
      <c r="N16" s="170" t="s">
        <v>144</v>
      </c>
      <c r="O16" s="4"/>
      <c r="P16" s="97"/>
      <c r="Q16" s="36">
        <f t="shared" si="22"/>
        <v>18.5</v>
      </c>
      <c r="R16" s="36">
        <f t="shared" si="14"/>
        <v>35.10991537605687</v>
      </c>
      <c r="S16" s="36"/>
      <c r="T16" s="36">
        <f t="shared" si="15"/>
        <v>6.663786010600621</v>
      </c>
      <c r="U16" s="36">
        <f t="shared" si="15"/>
        <v>10.412165641563469</v>
      </c>
      <c r="V16" s="36">
        <f t="shared" si="15"/>
        <v>14.993518523851394</v>
      </c>
      <c r="W16" s="36">
        <f t="shared" si="15"/>
        <v>20.407844657464402</v>
      </c>
      <c r="X16" s="36">
        <f t="shared" si="15"/>
        <v>26.655144042402483</v>
      </c>
      <c r="Y16" s="36">
        <f t="shared" si="15"/>
        <v>33.735416678665636</v>
      </c>
      <c r="Z16" s="37">
        <f t="shared" si="15"/>
        <v>41.648662566253876</v>
      </c>
      <c r="AB16" s="97"/>
      <c r="AC16" s="36">
        <f t="shared" si="23"/>
        <v>18.5</v>
      </c>
      <c r="AD16" s="36">
        <f t="shared" si="16"/>
        <v>35.110550195234396</v>
      </c>
      <c r="AE16" s="36"/>
      <c r="AF16" s="36">
        <f t="shared" si="17"/>
        <v>6.663731287802527</v>
      </c>
      <c r="AG16" s="36">
        <f t="shared" si="17"/>
        <v>10.412080137191447</v>
      </c>
      <c r="AH16" s="36">
        <f t="shared" si="17"/>
        <v>14.993395397555686</v>
      </c>
      <c r="AI16" s="36">
        <f t="shared" si="17"/>
        <v>20.40767706889524</v>
      </c>
      <c r="AJ16" s="36">
        <f t="shared" si="17"/>
        <v>26.654925151210108</v>
      </c>
      <c r="AK16" s="36">
        <f t="shared" si="17"/>
        <v>33.73513964450029</v>
      </c>
      <c r="AL16" s="37">
        <f t="shared" si="17"/>
        <v>41.64832054876579</v>
      </c>
      <c r="AN16" s="101" t="s">
        <v>33</v>
      </c>
      <c r="AO16" s="35">
        <f>$AO$4+$AR$4*SIN(RADIANS(H$13-H$16))-$AQ$4*SIN(RADIANS(H$13))+AO$7*COS(RADIANS(-90+H$17+H$13))</f>
        <v>4.226667162609092</v>
      </c>
      <c r="AP16" s="35">
        <f>$AO$4+$AR$4*SIN(RADIANS(I$13-I$16))-$AQ$4*SIN(RADIANS(I$13))+AP$7*COS(RADIANS(-90+I$17+I$13))</f>
        <v>4.569315304369173</v>
      </c>
      <c r="AQ16" s="35">
        <f>$AO$4+$AR$4*SIN(RADIANS(J$13-J$16))-$AQ$4*SIN(RADIANS(J$13))+AQ$7*COS(RADIANS(-90+J$17+J$13))</f>
        <v>4.818457684353813</v>
      </c>
      <c r="AR16" s="35">
        <f>$AP$4-$AR$4*COS(RADIANS(H$13-H$16))+$AQ$4*COS(RADIANS(H$13))+AR$7*SIN(RADIANS(-90+H$17+H$13))</f>
        <v>5.589127488553416</v>
      </c>
      <c r="AS16" s="35">
        <f>$AP$4-$AR$4*COS(RADIANS(I$13-I$16))+$AQ$4*COS(RADIANS(I$13))+AS$7*SIN(RADIANS(-90+I$17+I$13))</f>
        <v>3.4935777791277447</v>
      </c>
      <c r="AT16" s="116">
        <f>$AP$4-$AR$4*COS(RADIANS(J$13-J$16))+$AQ$4*COS(RADIANS(J$13))+AT$7*SIN(RADIANS(-90+J$17+J$13))</f>
        <v>6.0549264712360165</v>
      </c>
      <c r="AV16" s="101"/>
      <c r="AW16" s="35">
        <f t="shared" si="18"/>
        <v>4.124960533266198</v>
      </c>
      <c r="AX16" s="36">
        <f t="shared" si="19"/>
        <v>70.21983075211371</v>
      </c>
      <c r="AY16" s="35">
        <f t="shared" si="20"/>
        <v>4.124960533266198</v>
      </c>
      <c r="AZ16" s="37">
        <f t="shared" si="21"/>
        <v>70.22110039046879</v>
      </c>
    </row>
    <row r="17" spans="3:52" ht="12.75">
      <c r="C17" s="158"/>
      <c r="D17" s="158"/>
      <c r="E17" s="158"/>
      <c r="G17" s="159" t="s">
        <v>131</v>
      </c>
      <c r="H17" s="123">
        <f>DEGREES(ATAN((((SIN(RADIANS(90-H16-H10))-SIN(RADIANS(90-H16)))*SIN(RADIANS(H7)))-((SIN(RADIANS(90-H16+H9))-SIN(RADIANS(90-H16)))*SIN(RADIANS(-H8))))/((SIN(RADIANS(90-H16+H9))-SIN(RADIANS(90-H16)))*(COS(RADIANS(-H8))-1)-(SIN(RADIANS(90-H16-H10))-SIN(RADIANS(90-H16)))*(COS(RADIANS(H7))-1))))+90</f>
        <v>78.24352960086134</v>
      </c>
      <c r="I17" s="123">
        <f>DEGREES(ATAN((((SIN(RADIANS(90-I16-I10))-SIN(RADIANS(90-I16)))*SIN(RADIANS(I7)))-((SIN(RADIANS(90-I16+I9))-SIN(RADIANS(90-I16)))*SIN(RADIANS(-I8))))/((SIN(RADIANS(90-I16+I9))-SIN(RADIANS(90-I16)))*(COS(RADIANS(-I8))-1)-(SIN(RADIANS(90-I16-I10))-SIN(RADIANS(90-I16)))*(COS(RADIANS(I7))-1))))+90</f>
        <v>90.0172310792755</v>
      </c>
      <c r="J17" s="123">
        <f>DEGREES(ATAN((((SIN(RADIANS(90-J16-J10))-SIN(RADIANS(90-J16)))*SIN(RADIANS(J7)))-((SIN(RADIANS(90-J16+J9))-SIN(RADIANS(90-J16)))*SIN(RADIANS(-J8))))/((SIN(RADIANS(90-J16+J9))-SIN(RADIANS(90-J16)))*(COS(RADIANS(-J8))-1)-(SIN(RADIANS(90-J16-J10))-SIN(RADIANS(90-J16)))*(COS(RADIANS(J7))-1))))+90</f>
        <v>103.06431342950829</v>
      </c>
      <c r="O17" s="4"/>
      <c r="P17" s="97"/>
      <c r="Q17" s="36">
        <f t="shared" si="22"/>
        <v>15.25</v>
      </c>
      <c r="R17" s="36">
        <f t="shared" si="14"/>
        <v>28.474688654582813</v>
      </c>
      <c r="S17" s="36"/>
      <c r="T17" s="36">
        <f t="shared" si="15"/>
        <v>5.834498246526505</v>
      </c>
      <c r="U17" s="36">
        <f t="shared" si="15"/>
        <v>9.116403510197665</v>
      </c>
      <c r="V17" s="36">
        <f t="shared" si="15"/>
        <v>13.127621054684639</v>
      </c>
      <c r="W17" s="36">
        <f t="shared" si="15"/>
        <v>17.86815087998742</v>
      </c>
      <c r="X17" s="36">
        <f t="shared" si="15"/>
        <v>23.33799298610602</v>
      </c>
      <c r="Y17" s="36">
        <f t="shared" si="15"/>
        <v>29.537147373040433</v>
      </c>
      <c r="Z17" s="37">
        <f t="shared" si="15"/>
        <v>36.46561404079066</v>
      </c>
      <c r="AB17" s="97"/>
      <c r="AC17" s="36">
        <f t="shared" si="23"/>
        <v>15.25</v>
      </c>
      <c r="AD17" s="36">
        <f t="shared" si="16"/>
        <v>28.47520921996056</v>
      </c>
      <c r="AE17" s="36"/>
      <c r="AF17" s="36">
        <f t="shared" si="17"/>
        <v>5.834360507395603</v>
      </c>
      <c r="AG17" s="36">
        <f t="shared" si="17"/>
        <v>9.116188292805628</v>
      </c>
      <c r="AH17" s="36">
        <f t="shared" si="17"/>
        <v>13.127311141640106</v>
      </c>
      <c r="AI17" s="36">
        <f t="shared" si="17"/>
        <v>17.86772905389903</v>
      </c>
      <c r="AJ17" s="36">
        <f t="shared" si="17"/>
        <v>23.337442029582412</v>
      </c>
      <c r="AK17" s="36">
        <f t="shared" si="17"/>
        <v>29.53645006869024</v>
      </c>
      <c r="AL17" s="37">
        <f t="shared" si="17"/>
        <v>36.46475317122251</v>
      </c>
      <c r="AN17" s="101" t="s">
        <v>124</v>
      </c>
      <c r="AO17" s="35">
        <f>AO16-AO$7*SIN(RADIANS(180-H$17-H$13-H$7))</f>
        <v>5.056545654351749</v>
      </c>
      <c r="AP17" s="35">
        <f>AP16-AP$7*SIN(RADIANS(180-I$17-I$13-I$7))</f>
        <v>5.809133767039318</v>
      </c>
      <c r="AQ17" s="35">
        <f>AQ16-AQ$7*SIN(RADIANS(180-J$17-J$13-J$7))</f>
        <v>6.086279825301748</v>
      </c>
      <c r="AR17" s="35">
        <f>AR16-AR$7*COS(RADIANS(180-H$17-H$13-H$7))</f>
        <v>4.848264223253497</v>
      </c>
      <c r="AS17" s="35">
        <f>AS16-AS$7*COS(RADIANS(180-I$17-I$13-I$7))</f>
        <v>2.889339402671829</v>
      </c>
      <c r="AT17" s="116">
        <f>AT16-AT$7*COS(RADIANS(180-J$17-J$13-J$7))</f>
        <v>5.6688699368469795</v>
      </c>
      <c r="AV17" s="101"/>
      <c r="AW17" s="35">
        <f t="shared" si="18"/>
        <v>3.4194057879536723</v>
      </c>
      <c r="AX17" s="36">
        <f t="shared" si="19"/>
        <v>56.949377309165605</v>
      </c>
      <c r="AY17" s="35">
        <f t="shared" si="20"/>
        <v>3.4194057879536723</v>
      </c>
      <c r="AZ17" s="37">
        <f t="shared" si="21"/>
        <v>56.95041843992112</v>
      </c>
    </row>
    <row r="18" spans="3:52" ht="12.75">
      <c r="C18" s="158"/>
      <c r="D18" s="158"/>
      <c r="E18" s="158"/>
      <c r="G18" s="159" t="s">
        <v>132</v>
      </c>
      <c r="H18" s="124" t="str">
        <f>IF(H12=0,"?",((SIN(RADIANS(90-H16+H9))-SIN(RADIANS(90-H16)))/(SIN(RADIANS(H17+H7-90))-SIN(RADIANS(H17-90))))*SQRT(H11^2+H12^2))</f>
        <v>?</v>
      </c>
      <c r="I18" s="124">
        <f>IF(I12=0,"?",((SIN(RADIANS(90-I16+I9))-SIN(RADIANS(90-I16)))/(SIN(RADIANS(I17+I7-90))-SIN(RADIANS(I17-90))))*SQRT(I11^2+I12^2))</f>
        <v>2.274671500197506</v>
      </c>
      <c r="J18" s="124">
        <f>IF(J12=0,"?",((SIN(RADIANS(90-J16+J9))-SIN(RADIANS(90-J16)))/(SIN(RADIANS(J17+J7-90))-SIN(RADIANS(J17-90))))*SQRT(J11^2+J12^2))</f>
        <v>2.3707636770102782</v>
      </c>
      <c r="O18" s="4"/>
      <c r="P18" s="97"/>
      <c r="Q18" s="36">
        <f t="shared" si="22"/>
        <v>12</v>
      </c>
      <c r="R18" s="36">
        <f t="shared" si="14"/>
        <v>22.139386131113383</v>
      </c>
      <c r="S18" s="36"/>
      <c r="T18" s="36">
        <f t="shared" si="15"/>
        <v>4.793341871973669</v>
      </c>
      <c r="U18" s="36">
        <f t="shared" si="15"/>
        <v>7.489596674958858</v>
      </c>
      <c r="V18" s="36">
        <f t="shared" si="15"/>
        <v>10.785019211940757</v>
      </c>
      <c r="W18" s="36">
        <f t="shared" si="15"/>
        <v>14.679609482919366</v>
      </c>
      <c r="X18" s="36">
        <f t="shared" si="15"/>
        <v>19.173367487894676</v>
      </c>
      <c r="Y18" s="36">
        <f t="shared" si="15"/>
        <v>24.266293226866704</v>
      </c>
      <c r="Z18" s="37">
        <f t="shared" si="15"/>
        <v>29.958386699835433</v>
      </c>
      <c r="AB18" s="97"/>
      <c r="AC18" s="36">
        <f t="shared" si="23"/>
        <v>12</v>
      </c>
      <c r="AD18" s="36">
        <f t="shared" si="16"/>
        <v>22.139742685502014</v>
      </c>
      <c r="AE18" s="36"/>
      <c r="AF18" s="36">
        <f t="shared" si="17"/>
        <v>4.7932137670807</v>
      </c>
      <c r="AG18" s="36">
        <f t="shared" si="17"/>
        <v>7.4893965110635925</v>
      </c>
      <c r="AH18" s="36">
        <f t="shared" si="17"/>
        <v>10.784730975931575</v>
      </c>
      <c r="AI18" s="36">
        <f t="shared" si="17"/>
        <v>14.679217161684644</v>
      </c>
      <c r="AJ18" s="36">
        <f t="shared" si="17"/>
        <v>19.1728550683228</v>
      </c>
      <c r="AK18" s="36">
        <f t="shared" si="17"/>
        <v>24.265644695846042</v>
      </c>
      <c r="AL18" s="37">
        <f t="shared" si="17"/>
        <v>29.95758604425437</v>
      </c>
      <c r="AN18" s="101" t="s">
        <v>125</v>
      </c>
      <c r="AO18" s="35">
        <f>$AO$4+$AR$4*SIN(RADIANS(H$13-H$16+H$9))</f>
        <v>15.056545654351748</v>
      </c>
      <c r="AP18" s="35">
        <f>$AO$4+$AR$4*SIN(RADIANS(I$13-I$16+I$9))</f>
        <v>15.574529656641065</v>
      </c>
      <c r="AQ18" s="35">
        <f>$AO$4+$AR$4*SIN(RADIANS(J$13-J$16+J$9))</f>
        <v>16.086279825301748</v>
      </c>
      <c r="AR18" s="35">
        <f>$AP$4-$AR$4*COS(RADIANS(H$13-H$16+H$9))</f>
        <v>4.734230532408375</v>
      </c>
      <c r="AS18" s="35">
        <f>$AP$4-$AR$4*COS(RADIANS(I$13-I$16+I$9))</f>
        <v>5.058130704615326</v>
      </c>
      <c r="AT18" s="116">
        <f>$AP$4-$AR$4*COS(RADIANS(J$13-J$16+J$9))</f>
        <v>5.6225253212712385</v>
      </c>
      <c r="AV18" s="101"/>
      <c r="AW18" s="35">
        <f t="shared" si="18"/>
        <v>2.7028519806308715</v>
      </c>
      <c r="AX18" s="36">
        <f t="shared" si="19"/>
        <v>44.278772262226745</v>
      </c>
      <c r="AY18" s="35">
        <f t="shared" si="20"/>
        <v>2.7028519806308715</v>
      </c>
      <c r="AZ18" s="37">
        <f t="shared" si="21"/>
        <v>44.27948537100403</v>
      </c>
    </row>
    <row r="19" spans="4:52" ht="12.75" customHeight="1">
      <c r="D19" s="158"/>
      <c r="G19" s="4"/>
      <c r="H19" s="4"/>
      <c r="I19" s="4"/>
      <c r="J19" s="4"/>
      <c r="K19" s="4"/>
      <c r="L19" s="4"/>
      <c r="M19" s="4"/>
      <c r="N19" s="4"/>
      <c r="O19" s="4"/>
      <c r="P19" s="97"/>
      <c r="Q19" s="36">
        <f t="shared" si="22"/>
        <v>8.75</v>
      </c>
      <c r="R19" s="36">
        <f t="shared" si="14"/>
        <v>16.006090352091903</v>
      </c>
      <c r="S19" s="36"/>
      <c r="T19" s="36">
        <f t="shared" si="15"/>
        <v>3.6019236972134028</v>
      </c>
      <c r="U19" s="36">
        <f t="shared" si="15"/>
        <v>5.628005776895941</v>
      </c>
      <c r="V19" s="36">
        <f t="shared" si="15"/>
        <v>8.104328318730156</v>
      </c>
      <c r="W19" s="36">
        <f t="shared" si="15"/>
        <v>11.030891322716046</v>
      </c>
      <c r="X19" s="36">
        <f t="shared" si="15"/>
        <v>14.407694788853611</v>
      </c>
      <c r="Y19" s="36">
        <f t="shared" si="15"/>
        <v>18.23473871714285</v>
      </c>
      <c r="Z19" s="37">
        <f t="shared" si="15"/>
        <v>22.512023107583765</v>
      </c>
      <c r="AB19" s="97"/>
      <c r="AC19" s="36">
        <f t="shared" si="23"/>
        <v>8.75</v>
      </c>
      <c r="AD19" s="36">
        <f t="shared" si="16"/>
        <v>16.006291302766357</v>
      </c>
      <c r="AE19" s="36"/>
      <c r="AF19" s="36">
        <f t="shared" si="17"/>
        <v>3.6018401778140867</v>
      </c>
      <c r="AG19" s="36">
        <f t="shared" si="17"/>
        <v>5.6278752778345105</v>
      </c>
      <c r="AH19" s="36">
        <f t="shared" si="17"/>
        <v>8.104140400081693</v>
      </c>
      <c r="AI19" s="36">
        <f t="shared" si="17"/>
        <v>11.03063554455564</v>
      </c>
      <c r="AJ19" s="36">
        <f t="shared" si="17"/>
        <v>14.407360711256347</v>
      </c>
      <c r="AK19" s="36">
        <f t="shared" si="17"/>
        <v>18.234315900183812</v>
      </c>
      <c r="AL19" s="37">
        <f t="shared" si="17"/>
        <v>22.511501111338042</v>
      </c>
      <c r="AN19" s="101" t="s">
        <v>126</v>
      </c>
      <c r="AO19" s="35">
        <f>AO$12+$AR$4*SIN(RADIANS(H$13-H$16))*(COS(RADIANS(H$9))-1)</f>
        <v>14</v>
      </c>
      <c r="AP19" s="35">
        <f>AP$12+$AR$4*SIN(RADIANS(I$13-I$16))*(COS(RADIANS(I$9))-1)</f>
        <v>14.549529814010574</v>
      </c>
      <c r="AQ19" s="35">
        <f>AQ$12+$AR$4*SIN(RADIANS(J$13-J$16))*(COS(RADIANS(J$9))-1)</f>
        <v>14.968245836551855</v>
      </c>
      <c r="AR19" s="35">
        <f>AR$12+$AR$4*SIN(RADIANS(H$13-H$16))*SIN(RADIANS(H$9))</f>
        <v>7</v>
      </c>
      <c r="AS19" s="35">
        <f>AS$12+$AR$4*SIN(RADIANS(I$13-I$16))*SIN(RADIANS(I$9))</f>
        <v>7.256249960657623</v>
      </c>
      <c r="AT19" s="116">
        <f>AT$12+$AR$4*SIN(RADIANS(J$13-J$16))*SIN(RADIANS(J$9))</f>
        <v>7.5590169943749475</v>
      </c>
      <c r="AV19" s="101"/>
      <c r="AW19" s="35">
        <f t="shared" si="18"/>
        <v>1.977604020468917</v>
      </c>
      <c r="AX19" s="36">
        <f t="shared" si="19"/>
        <v>32.01218070418379</v>
      </c>
      <c r="AY19" s="35">
        <f t="shared" si="20"/>
        <v>1.977604020468917</v>
      </c>
      <c r="AZ19" s="37">
        <f t="shared" si="21"/>
        <v>32.012582605532714</v>
      </c>
    </row>
    <row r="20" spans="15:52" ht="12.75">
      <c r="O20" s="4"/>
      <c r="P20" s="97"/>
      <c r="Q20" s="36">
        <f t="shared" si="22"/>
        <v>5.5</v>
      </c>
      <c r="R20" s="36">
        <f t="shared" si="14"/>
        <v>10.004806874745157</v>
      </c>
      <c r="S20" s="36"/>
      <c r="T20" s="36">
        <f t="shared" si="15"/>
        <v>2.308588206471537</v>
      </c>
      <c r="U20" s="36">
        <f t="shared" si="15"/>
        <v>3.6071690726117764</v>
      </c>
      <c r="V20" s="36">
        <f t="shared" si="15"/>
        <v>5.194323464560959</v>
      </c>
      <c r="W20" s="36">
        <f t="shared" si="15"/>
        <v>7.070051382319081</v>
      </c>
      <c r="X20" s="36">
        <f t="shared" si="15"/>
        <v>9.234352825886148</v>
      </c>
      <c r="Y20" s="36">
        <f t="shared" si="15"/>
        <v>11.687227795262157</v>
      </c>
      <c r="Z20" s="37">
        <f t="shared" si="15"/>
        <v>14.428676290447106</v>
      </c>
      <c r="AB20" s="97"/>
      <c r="AC20" s="36">
        <f t="shared" si="23"/>
        <v>5.5</v>
      </c>
      <c r="AD20" s="36">
        <f t="shared" si="16"/>
        <v>10.004888956802745</v>
      </c>
      <c r="AE20" s="36"/>
      <c r="AF20" s="36">
        <f t="shared" si="17"/>
        <v>2.308551356716585</v>
      </c>
      <c r="AG20" s="36">
        <f t="shared" si="17"/>
        <v>3.6071114948696645</v>
      </c>
      <c r="AH20" s="36">
        <f t="shared" si="17"/>
        <v>5.194240552612318</v>
      </c>
      <c r="AI20" s="36">
        <f t="shared" si="17"/>
        <v>7.069938529944543</v>
      </c>
      <c r="AJ20" s="36">
        <f t="shared" si="17"/>
        <v>9.23420542686634</v>
      </c>
      <c r="AK20" s="36">
        <f t="shared" si="17"/>
        <v>11.687041243377713</v>
      </c>
      <c r="AL20" s="37">
        <f t="shared" si="17"/>
        <v>14.428445979478658</v>
      </c>
      <c r="AN20" s="101" t="s">
        <v>31</v>
      </c>
      <c r="AO20" s="35">
        <f>$AO$4</f>
        <v>14</v>
      </c>
      <c r="AP20" s="35">
        <f>$AO$4</f>
        <v>14</v>
      </c>
      <c r="AQ20" s="35">
        <f>$AO$4</f>
        <v>14</v>
      </c>
      <c r="AR20" s="35">
        <f>$AP$4</f>
        <v>7</v>
      </c>
      <c r="AS20" s="35">
        <f>$AP$4</f>
        <v>7</v>
      </c>
      <c r="AT20" s="116">
        <f>$AP$4</f>
        <v>7</v>
      </c>
      <c r="AV20" s="101"/>
      <c r="AW20" s="35">
        <f t="shared" si="18"/>
        <v>1.2459947827629119</v>
      </c>
      <c r="AX20" s="36">
        <f t="shared" si="19"/>
        <v>20.009613749490306</v>
      </c>
      <c r="AY20" s="35">
        <f t="shared" si="20"/>
        <v>1.2459947827629119</v>
      </c>
      <c r="AZ20" s="37">
        <f t="shared" si="21"/>
        <v>20.00977791360549</v>
      </c>
    </row>
    <row r="21" spans="15:52" ht="12.75" customHeight="1" thickBot="1">
      <c r="O21" s="4"/>
      <c r="P21" s="97"/>
      <c r="Q21" s="36">
        <f t="shared" si="22"/>
        <v>2.25</v>
      </c>
      <c r="R21" s="36">
        <f t="shared" si="14"/>
        <v>4.080779162630691</v>
      </c>
      <c r="S21" s="36"/>
      <c r="T21" s="36">
        <f t="shared" si="15"/>
        <v>0.9541207965396721</v>
      </c>
      <c r="U21" s="36">
        <f t="shared" si="15"/>
        <v>1.4908137445932375</v>
      </c>
      <c r="V21" s="36">
        <f t="shared" si="15"/>
        <v>2.146771792214262</v>
      </c>
      <c r="W21" s="36">
        <f t="shared" si="15"/>
        <v>2.9219949394027456</v>
      </c>
      <c r="X21" s="36">
        <f t="shared" si="15"/>
        <v>3.8164831861586883</v>
      </c>
      <c r="Y21" s="36">
        <f t="shared" si="15"/>
        <v>4.83023653248209</v>
      </c>
      <c r="Z21" s="37">
        <f t="shared" si="15"/>
        <v>5.96325497837295</v>
      </c>
      <c r="AB21" s="97"/>
      <c r="AC21" s="36">
        <f t="shared" si="23"/>
        <v>2.25</v>
      </c>
      <c r="AD21" s="36">
        <f t="shared" si="16"/>
        <v>4.080793123895745</v>
      </c>
      <c r="AE21" s="36"/>
      <c r="AF21" s="36">
        <f t="shared" si="17"/>
        <v>0.9541142961825902</v>
      </c>
      <c r="AG21" s="36">
        <f t="shared" si="17"/>
        <v>1.490803587785297</v>
      </c>
      <c r="AH21" s="36">
        <f t="shared" si="17"/>
        <v>2.146757166410828</v>
      </c>
      <c r="AI21" s="36">
        <f t="shared" si="17"/>
        <v>2.9219750320591826</v>
      </c>
      <c r="AJ21" s="36">
        <f t="shared" si="17"/>
        <v>3.816457184730361</v>
      </c>
      <c r="AK21" s="36">
        <f t="shared" si="17"/>
        <v>4.830203624424363</v>
      </c>
      <c r="AL21" s="37">
        <f t="shared" si="17"/>
        <v>5.963214351141188</v>
      </c>
      <c r="AN21" s="120" t="s">
        <v>35</v>
      </c>
      <c r="AO21" s="28">
        <f>AO$14+$AS$4*(COS(RADIANS(H$9))-1)</f>
        <v>18.53153893518325</v>
      </c>
      <c r="AP21" s="28">
        <f>AP$14+$AS$4*(COS(RADIANS(I$9))-1)</f>
        <v>18.53153893518325</v>
      </c>
      <c r="AQ21" s="28">
        <f>AQ$14+$AS$4*(COS(RADIANS(J$9))-1)</f>
        <v>18.330127018922195</v>
      </c>
      <c r="AR21" s="28">
        <f>AR$14+$AS$4*SIN(RADIANS(H$9))</f>
        <v>9.113091308703497</v>
      </c>
      <c r="AS21" s="28">
        <f>AS$14+$AS$4*SIN(RADIANS(I$9))</f>
        <v>9.113091308703497</v>
      </c>
      <c r="AT21" s="29">
        <f>AT$14+$AS$4*SIN(RADIANS(J$9))</f>
        <v>9.5</v>
      </c>
      <c r="AV21" s="101"/>
      <c r="AW21" s="35">
        <f t="shared" si="18"/>
        <v>0.510377604867892</v>
      </c>
      <c r="AX21" s="36">
        <f t="shared" si="19"/>
        <v>8.161558325261378</v>
      </c>
      <c r="AY21" s="35">
        <f t="shared" si="20"/>
        <v>0.510377604867892</v>
      </c>
      <c r="AZ21" s="37">
        <f t="shared" si="21"/>
        <v>8.16158624779149</v>
      </c>
    </row>
    <row r="22" spans="15:52" ht="12.75">
      <c r="O22" s="4"/>
      <c r="P22" s="110" t="s">
        <v>93</v>
      </c>
      <c r="Q22" s="111">
        <f>$J$9</f>
        <v>30</v>
      </c>
      <c r="R22" s="112">
        <f aca="true" t="shared" si="24" ref="R22:R29">-$J$17+DEGREES(ASIN((SIN(RADIANS(90-$J$16+Q22))-SIN(RADIANS(90-$J$16)))/((SIN(RADIANS(90-$J$16+$J$9))-SIN(RADIANS(90-$J$16)))/(SIN(RADIANS($J$17+$J$7-90))-SIN(RADIANS($J$17-90))))+SIN(RADIANS($J$17-90))))+90</f>
        <v>60</v>
      </c>
      <c r="S22" s="112"/>
      <c r="T22" s="93">
        <f aca="true" t="shared" si="25" ref="T22:Z29">0.0000085*($J$4^2*$J$5*T$3^2*SIN(RADIANS($Q22))*(COS(RADIANS($J$17+$R22-90))/COS(RADIANS(90-$J$16+$Q22)))*(SIN(RADIANS(90-$J$16+$Q22))-SIN(RADIANS(90-$J$16)))/(SIN(RADIANS($J$17+$R22-90))-SIN(RADIANS($J$17-90))))</f>
        <v>13.8314982055858</v>
      </c>
      <c r="U22" s="93">
        <f t="shared" si="25"/>
        <v>21.611715946227818</v>
      </c>
      <c r="V22" s="93">
        <f t="shared" si="25"/>
        <v>31.120870962568052</v>
      </c>
      <c r="W22" s="93">
        <f t="shared" si="25"/>
        <v>42.358963254606515</v>
      </c>
      <c r="X22" s="93">
        <f t="shared" si="25"/>
        <v>55.3259928223432</v>
      </c>
      <c r="Y22" s="93">
        <f t="shared" si="25"/>
        <v>70.02195966577813</v>
      </c>
      <c r="Z22" s="113">
        <f t="shared" si="25"/>
        <v>86.44686378491127</v>
      </c>
      <c r="AB22" s="110" t="s">
        <v>93</v>
      </c>
      <c r="AC22" s="111">
        <f>$J$10</f>
        <v>30</v>
      </c>
      <c r="AD22" s="112">
        <f aca="true" t="shared" si="26" ref="AD22:AD29">$J$17-DEGREES(ASIN((SIN(RADIANS(90-$J$16+-AC22))-SIN(RADIANS(90-$J$16)))/((SIN(RADIANS(90-$J$16+$J$9))-SIN(RADIANS(90-$J$16)))/(SIN(RADIANS($J$17+$J$7-90))-SIN(RADIANS($J$17-90))))+SIN(RADIANS($J$17-90))))-90</f>
        <v>60</v>
      </c>
      <c r="AE22" s="112"/>
      <c r="AF22" s="93">
        <f aca="true" t="shared" si="27" ref="AF22:AL29">0.0000085*($J$4^2*$J$5*AF$3^2*SIN(RADIANS($AC22))*(COS(RADIANS($J$17+-$AD22-90))/COS(RADIANS(90-$J$16+-$AC22)))*(SIN(RADIANS(90-$J$16+-$AC22))-SIN(RADIANS(90-$J$16)))/(SIN(RADIANS($J$17+-$AD22-90))-SIN(RADIANS($J$17-90))))</f>
        <v>17.896233722093907</v>
      </c>
      <c r="AG22" s="93">
        <f t="shared" si="27"/>
        <v>27.962865190771726</v>
      </c>
      <c r="AH22" s="93">
        <f t="shared" si="27"/>
        <v>40.266525874711284</v>
      </c>
      <c r="AI22" s="93">
        <f t="shared" si="27"/>
        <v>54.807215773912574</v>
      </c>
      <c r="AJ22" s="93">
        <f t="shared" si="27"/>
        <v>71.58493488837563</v>
      </c>
      <c r="AK22" s="93">
        <f t="shared" si="27"/>
        <v>90.59968321810041</v>
      </c>
      <c r="AL22" s="113">
        <f t="shared" si="27"/>
        <v>111.8514607630869</v>
      </c>
      <c r="AN22" s="114" t="s">
        <v>101</v>
      </c>
      <c r="AO22" s="93"/>
      <c r="AP22" s="93"/>
      <c r="AQ22" s="93"/>
      <c r="AR22" s="93"/>
      <c r="AS22" s="93"/>
      <c r="AT22" s="113"/>
      <c r="AV22" s="114" t="s">
        <v>133</v>
      </c>
      <c r="AW22" s="17">
        <f aca="true" t="shared" si="28" ref="AW22:AW29">$J$4*SIN(RADIANS($Q22))</f>
        <v>8.999999999999998</v>
      </c>
      <c r="AX22" s="93">
        <f aca="true" t="shared" si="29" ref="AX22:AX29">100*$R22/$R$22</f>
        <v>100</v>
      </c>
      <c r="AY22" s="17">
        <f aca="true" t="shared" si="30" ref="AY22:AY29">$J$4*SIN(RADIANS($AC22))</f>
        <v>8.999999999999998</v>
      </c>
      <c r="AZ22" s="113">
        <f aca="true" t="shared" si="31" ref="AZ22:AZ29">100*$AD22/$AD$22</f>
        <v>100</v>
      </c>
    </row>
    <row r="23" spans="15:52" ht="12.75">
      <c r="O23" s="4"/>
      <c r="P23" s="97"/>
      <c r="Q23" s="36">
        <f aca="true" t="shared" si="32" ref="Q23:Q29">Q22-0.13*$Q$22</f>
        <v>26.1</v>
      </c>
      <c r="R23" s="36">
        <f t="shared" si="24"/>
        <v>48.85600611591215</v>
      </c>
      <c r="S23" s="36"/>
      <c r="T23" s="36">
        <f t="shared" si="25"/>
        <v>17.86608060756887</v>
      </c>
      <c r="U23" s="36">
        <f t="shared" si="25"/>
        <v>27.915750949326362</v>
      </c>
      <c r="V23" s="36">
        <f t="shared" si="25"/>
        <v>40.19868136702996</v>
      </c>
      <c r="W23" s="36">
        <f t="shared" si="25"/>
        <v>54.71487186067965</v>
      </c>
      <c r="X23" s="36">
        <f t="shared" si="25"/>
        <v>71.46432243027547</v>
      </c>
      <c r="Y23" s="36">
        <f t="shared" si="25"/>
        <v>90.44703307581739</v>
      </c>
      <c r="Z23" s="37">
        <f t="shared" si="25"/>
        <v>111.66300379730545</v>
      </c>
      <c r="AB23" s="97"/>
      <c r="AC23" s="36">
        <f aca="true" t="shared" si="33" ref="AC23:AC29">AC22-0.13*$AC$22</f>
        <v>26.1</v>
      </c>
      <c r="AD23" s="36">
        <f t="shared" si="26"/>
        <v>50.09585047526892</v>
      </c>
      <c r="AE23" s="36"/>
      <c r="AF23" s="36">
        <f t="shared" si="27"/>
        <v>18.37724983003471</v>
      </c>
      <c r="AG23" s="36">
        <f t="shared" si="27"/>
        <v>28.714452859429237</v>
      </c>
      <c r="AH23" s="36">
        <f t="shared" si="27"/>
        <v>41.348812117578106</v>
      </c>
      <c r="AI23" s="36">
        <f t="shared" si="27"/>
        <v>56.28032760448129</v>
      </c>
      <c r="AJ23" s="36">
        <f t="shared" si="27"/>
        <v>73.50899932013884</v>
      </c>
      <c r="AK23" s="36">
        <f t="shared" si="27"/>
        <v>93.03482726455071</v>
      </c>
      <c r="AL23" s="37">
        <f t="shared" si="27"/>
        <v>114.85781143771695</v>
      </c>
      <c r="AN23" s="101" t="s">
        <v>33</v>
      </c>
      <c r="AO23" s="35">
        <f>$AO$4+$AR$4*SIN(RADIANS(H$13-H$16))-$AQ$4*SIN(RADIANS(H$13))+AO$7*COS(RADIANS(-90+H$17+H$13))</f>
        <v>4.226667162609092</v>
      </c>
      <c r="AP23" s="35">
        <f>$AO$4+$AR$4*SIN(RADIANS(I$13-I$16))-$AQ$4*SIN(RADIANS(I$13))+AP$7*COS(RADIANS(-90+I$17+I$13))</f>
        <v>4.569315304369173</v>
      </c>
      <c r="AQ23" s="35">
        <f>$AO$4+$AR$4*SIN(RADIANS(J$13-J$16))-$AQ$4*SIN(RADIANS(J$13))+AQ$7*COS(RADIANS(-90+J$17+J$13))</f>
        <v>4.818457684353813</v>
      </c>
      <c r="AR23" s="35">
        <f>$AP$4-$AR$4*COS(RADIANS(H$13-H$16))+$AQ$4*COS(RADIANS(H$13))+AR$7*SIN(RADIANS(-90+H$17+H$13))</f>
        <v>5.589127488553416</v>
      </c>
      <c r="AS23" s="35">
        <f>$AP$4-$AR$4*COS(RADIANS(I$13-I$16))+$AQ$4*COS(RADIANS(I$13))+AS$7*SIN(RADIANS(-90+I$17+I$13))</f>
        <v>3.4935777791277447</v>
      </c>
      <c r="AT23" s="116">
        <f>$AP$4-$AR$4*COS(RADIANS(J$13-J$16))+$AQ$4*COS(RADIANS(J$13))+AT$7*SIN(RADIANS(-90+J$17+J$13))</f>
        <v>6.0549264712360165</v>
      </c>
      <c r="AV23" s="101"/>
      <c r="AW23" s="35">
        <f t="shared" si="28"/>
        <v>7.918905057406472</v>
      </c>
      <c r="AX23" s="36">
        <f t="shared" si="29"/>
        <v>81.42667685985359</v>
      </c>
      <c r="AY23" s="35">
        <f t="shared" si="30"/>
        <v>7.918905057406472</v>
      </c>
      <c r="AZ23" s="37">
        <f t="shared" si="31"/>
        <v>83.49308412544819</v>
      </c>
    </row>
    <row r="24" spans="15:52" ht="12.75">
      <c r="O24" s="4"/>
      <c r="P24" s="97"/>
      <c r="Q24" s="36">
        <f t="shared" si="32"/>
        <v>22.200000000000003</v>
      </c>
      <c r="R24" s="36">
        <f t="shared" si="24"/>
        <v>40.16223589541284</v>
      </c>
      <c r="S24" s="36"/>
      <c r="T24" s="36">
        <f t="shared" si="25"/>
        <v>17.9558392785662</v>
      </c>
      <c r="U24" s="36">
        <f t="shared" si="25"/>
        <v>28.055998872759687</v>
      </c>
      <c r="V24" s="36">
        <f t="shared" si="25"/>
        <v>40.40063837677395</v>
      </c>
      <c r="W24" s="36">
        <f t="shared" si="25"/>
        <v>54.989757790608984</v>
      </c>
      <c r="X24" s="36">
        <f t="shared" si="25"/>
        <v>71.8233571142648</v>
      </c>
      <c r="Y24" s="36">
        <f t="shared" si="25"/>
        <v>90.90143634774137</v>
      </c>
      <c r="Z24" s="37">
        <f t="shared" si="25"/>
        <v>112.22399549103875</v>
      </c>
      <c r="AB24" s="97"/>
      <c r="AC24" s="36">
        <f t="shared" si="33"/>
        <v>22.200000000000003</v>
      </c>
      <c r="AD24" s="36">
        <f t="shared" si="26"/>
        <v>41.35806875951732</v>
      </c>
      <c r="AE24" s="36"/>
      <c r="AF24" s="36">
        <f t="shared" si="27"/>
        <v>17.458996391253187</v>
      </c>
      <c r="AG24" s="36">
        <f t="shared" si="27"/>
        <v>27.279681861333103</v>
      </c>
      <c r="AH24" s="36">
        <f t="shared" si="27"/>
        <v>39.28274188031966</v>
      </c>
      <c r="AI24" s="36">
        <f t="shared" si="27"/>
        <v>53.46817644821288</v>
      </c>
      <c r="AJ24" s="36">
        <f t="shared" si="27"/>
        <v>69.83598556501275</v>
      </c>
      <c r="AK24" s="36">
        <f t="shared" si="27"/>
        <v>88.38616923071925</v>
      </c>
      <c r="AL24" s="37">
        <f t="shared" si="27"/>
        <v>109.11872744533241</v>
      </c>
      <c r="AN24" s="101" t="s">
        <v>124</v>
      </c>
      <c r="AO24" s="35">
        <f>AO23-AO$7*SIN(RADIANS(180-H$17-H$13+H$8))</f>
        <v>3.3529523872436986</v>
      </c>
      <c r="AP24" s="35">
        <f>AP23-AP$7*SIN(RADIANS(180-I$17-I$13+I$8))</f>
        <v>3.758964449887392</v>
      </c>
      <c r="AQ24" s="35">
        <f>AQ23-AQ$7*SIN(RADIANS(180-J$17-J$13+J$8))</f>
        <v>3.850211847801959</v>
      </c>
      <c r="AR24" s="35">
        <f>AR23-AR$7*COS(RADIANS(180-H$17-H$13+H$8))</f>
        <v>4.900506271746872</v>
      </c>
      <c r="AS24" s="35">
        <f>AS23-AS$7*COS(RADIANS(180-I$17-I$13+I$8))</f>
        <v>2.377519837710503</v>
      </c>
      <c r="AT24" s="116">
        <f>AT23-AT$7*COS(RADIANS(180-J$17-J$13+J$8))</f>
        <v>5.149988556889248</v>
      </c>
      <c r="AV24" s="101"/>
      <c r="AW24" s="35">
        <f t="shared" si="28"/>
        <v>6.801134162732409</v>
      </c>
      <c r="AX24" s="36">
        <f t="shared" si="29"/>
        <v>66.93705982568807</v>
      </c>
      <c r="AY24" s="35">
        <f t="shared" si="30"/>
        <v>6.801134162732409</v>
      </c>
      <c r="AZ24" s="37">
        <f t="shared" si="31"/>
        <v>68.93011459919553</v>
      </c>
    </row>
    <row r="25" spans="15:52" ht="12.75">
      <c r="O25" s="4"/>
      <c r="P25" s="97"/>
      <c r="Q25" s="36">
        <f t="shared" si="32"/>
        <v>18.300000000000004</v>
      </c>
      <c r="R25" s="36">
        <f t="shared" si="24"/>
        <v>32.42778788574895</v>
      </c>
      <c r="S25" s="36"/>
      <c r="T25" s="36">
        <f t="shared" si="25"/>
        <v>16.24956141339558</v>
      </c>
      <c r="U25" s="36">
        <f t="shared" si="25"/>
        <v>25.38993970843059</v>
      </c>
      <c r="V25" s="36">
        <f t="shared" si="25"/>
        <v>36.561513180140054</v>
      </c>
      <c r="W25" s="36">
        <f t="shared" si="25"/>
        <v>49.764281828523956</v>
      </c>
      <c r="X25" s="36">
        <f t="shared" si="25"/>
        <v>64.99824565358232</v>
      </c>
      <c r="Y25" s="36">
        <f t="shared" si="25"/>
        <v>82.26340465531511</v>
      </c>
      <c r="Z25" s="37">
        <f t="shared" si="25"/>
        <v>101.55975883372236</v>
      </c>
      <c r="AB25" s="97"/>
      <c r="AC25" s="36">
        <f t="shared" si="33"/>
        <v>18.300000000000004</v>
      </c>
      <c r="AD25" s="36">
        <f t="shared" si="26"/>
        <v>33.331283303456544</v>
      </c>
      <c r="AE25" s="36"/>
      <c r="AF25" s="36">
        <f t="shared" si="27"/>
        <v>15.574089974631539</v>
      </c>
      <c r="AG25" s="36">
        <f t="shared" si="27"/>
        <v>24.334515585361785</v>
      </c>
      <c r="AH25" s="36">
        <f t="shared" si="27"/>
        <v>35.041702442920965</v>
      </c>
      <c r="AI25" s="36">
        <f t="shared" si="27"/>
        <v>47.69565054730909</v>
      </c>
      <c r="AJ25" s="36">
        <f t="shared" si="27"/>
        <v>62.296359898526156</v>
      </c>
      <c r="AK25" s="36">
        <f t="shared" si="27"/>
        <v>78.84383049657217</v>
      </c>
      <c r="AL25" s="37">
        <f t="shared" si="27"/>
        <v>97.33806234144714</v>
      </c>
      <c r="AN25" s="101" t="s">
        <v>125</v>
      </c>
      <c r="AO25" s="35">
        <f>$AO$4+$AR$4*SIN(RADIANS(H$13-H$16-H$10))</f>
        <v>13.352952387243699</v>
      </c>
      <c r="AP25" s="35">
        <f>$AO$4+$AR$4*SIN(RADIANS(I$13-I$16-I$10))</f>
        <v>13.524529971380083</v>
      </c>
      <c r="AQ25" s="35">
        <f>$AO$4+$AR$4*SIN(RADIANS(J$13-J$16-J$10))</f>
        <v>13.85021184780196</v>
      </c>
      <c r="AR25" s="35">
        <f>$AP$4-$AR$4*COS(RADIANS(H$13-H$16-H$10))</f>
        <v>4.58518543427733</v>
      </c>
      <c r="AS25" s="35">
        <f>$AP$4-$AR$4*COS(RADIANS(I$13-I$16-I$10))</f>
        <v>4.545630783300081</v>
      </c>
      <c r="AT25" s="116">
        <f>$AP$4-$AR$4*COS(RADIANS(J$13-J$16-J$10))</f>
        <v>4.504491332521344</v>
      </c>
      <c r="AV25" s="101"/>
      <c r="AW25" s="35">
        <f t="shared" si="28"/>
        <v>5.65186420741329</v>
      </c>
      <c r="AX25" s="36">
        <f t="shared" si="29"/>
        <v>54.04631314291491</v>
      </c>
      <c r="AY25" s="35">
        <f t="shared" si="30"/>
        <v>5.65186420741329</v>
      </c>
      <c r="AZ25" s="37">
        <f t="shared" si="31"/>
        <v>55.55213883909424</v>
      </c>
    </row>
    <row r="26" spans="15:52" ht="12.75">
      <c r="O26" s="4"/>
      <c r="P26" s="97"/>
      <c r="Q26" s="36">
        <f t="shared" si="32"/>
        <v>14.400000000000004</v>
      </c>
      <c r="R26" s="36">
        <f t="shared" si="24"/>
        <v>25.18872739273533</v>
      </c>
      <c r="S26" s="36"/>
      <c r="T26" s="36">
        <f t="shared" si="25"/>
        <v>13.532564839096404</v>
      </c>
      <c r="U26" s="36">
        <f t="shared" si="25"/>
        <v>21.14463256108813</v>
      </c>
      <c r="V26" s="36">
        <f t="shared" si="25"/>
        <v>30.44827088796691</v>
      </c>
      <c r="W26" s="36">
        <f t="shared" si="25"/>
        <v>41.44347981973272</v>
      </c>
      <c r="X26" s="36">
        <f t="shared" si="25"/>
        <v>54.130259356385615</v>
      </c>
      <c r="Y26" s="36">
        <f t="shared" si="25"/>
        <v>68.50860949792553</v>
      </c>
      <c r="Z26" s="37">
        <f t="shared" si="25"/>
        <v>84.57853024435252</v>
      </c>
      <c r="AB26" s="97"/>
      <c r="AC26" s="36">
        <f t="shared" si="33"/>
        <v>14.400000000000004</v>
      </c>
      <c r="AD26" s="36">
        <f t="shared" si="26"/>
        <v>25.776488673827146</v>
      </c>
      <c r="AE26" s="36"/>
      <c r="AF26" s="36">
        <f t="shared" si="27"/>
        <v>12.985198293804519</v>
      </c>
      <c r="AG26" s="36">
        <f t="shared" si="27"/>
        <v>20.28937233406956</v>
      </c>
      <c r="AH26" s="36">
        <f t="shared" si="27"/>
        <v>29.216696161060167</v>
      </c>
      <c r="AI26" s="36">
        <f t="shared" si="27"/>
        <v>39.767169774776335</v>
      </c>
      <c r="AJ26" s="36">
        <f t="shared" si="27"/>
        <v>51.940793175218076</v>
      </c>
      <c r="AK26" s="36">
        <f t="shared" si="27"/>
        <v>65.73756636238538</v>
      </c>
      <c r="AL26" s="37">
        <f t="shared" si="27"/>
        <v>81.15748933627825</v>
      </c>
      <c r="AN26" s="101" t="s">
        <v>126</v>
      </c>
      <c r="AO26" s="35">
        <f>AO$12+$AR$4*SIN(RADIANS(H$13-H$16))*(COS(RADIANS(H$10))-1)</f>
        <v>14</v>
      </c>
      <c r="AP26" s="35">
        <f>AP$12+$AR$4*SIN(RADIANS(I$13-I$16))*(COS(RADIANS(I$10))-1)</f>
        <v>14.549529814010574</v>
      </c>
      <c r="AQ26" s="35">
        <f>AQ$12+$AR$4*SIN(RADIANS(J$13-J$16))*(COS(RADIANS(J$10))-1)</f>
        <v>14.968245836551855</v>
      </c>
      <c r="AR26" s="35">
        <f>AR$12-$AR$4*SIN(RADIANS(H$13-H$16))*SIN(RADIANS(H$10))</f>
        <v>7</v>
      </c>
      <c r="AS26" s="35">
        <f>AS$12-$AR$4*SIN(RADIANS(I$13-I$16))*SIN(RADIANS(I$10))</f>
        <v>6.743750039342377</v>
      </c>
      <c r="AT26" s="116">
        <f>AT$12-$AR$4*SIN(RADIANS(J$13-J$16))*SIN(RADIANS(J$10))</f>
        <v>6.4409830056250525</v>
      </c>
      <c r="AV26" s="101"/>
      <c r="AW26" s="35">
        <f t="shared" si="28"/>
        <v>4.476417968967388</v>
      </c>
      <c r="AX26" s="36">
        <f t="shared" si="29"/>
        <v>41.981212321225556</v>
      </c>
      <c r="AY26" s="35">
        <f t="shared" si="30"/>
        <v>4.476417968967388</v>
      </c>
      <c r="AZ26" s="37">
        <f t="shared" si="31"/>
        <v>42.96081445637857</v>
      </c>
    </row>
    <row r="27" spans="16:52" ht="12.75">
      <c r="P27" s="97"/>
      <c r="Q27" s="36">
        <f t="shared" si="32"/>
        <v>10.500000000000004</v>
      </c>
      <c r="R27" s="36">
        <f t="shared" si="24"/>
        <v>18.227011144381834</v>
      </c>
      <c r="S27" s="36"/>
      <c r="T27" s="36">
        <f t="shared" si="25"/>
        <v>10.211575414391914</v>
      </c>
      <c r="U27" s="36">
        <f t="shared" si="25"/>
        <v>15.955586584987362</v>
      </c>
      <c r="V27" s="36">
        <f t="shared" si="25"/>
        <v>22.976044682381808</v>
      </c>
      <c r="W27" s="36">
        <f t="shared" si="25"/>
        <v>31.272949706575236</v>
      </c>
      <c r="X27" s="36">
        <f t="shared" si="25"/>
        <v>40.84630165756766</v>
      </c>
      <c r="Y27" s="36">
        <f t="shared" si="25"/>
        <v>51.696100535359065</v>
      </c>
      <c r="Z27" s="37">
        <f t="shared" si="25"/>
        <v>63.82234633994945</v>
      </c>
      <c r="AB27" s="97"/>
      <c r="AC27" s="36">
        <f t="shared" si="33"/>
        <v>10.500000000000004</v>
      </c>
      <c r="AD27" s="36">
        <f t="shared" si="26"/>
        <v>18.547470382733422</v>
      </c>
      <c r="AE27" s="36"/>
      <c r="AF27" s="36">
        <f t="shared" si="27"/>
        <v>9.87748896741262</v>
      </c>
      <c r="AG27" s="36">
        <f t="shared" si="27"/>
        <v>15.433576511582219</v>
      </c>
      <c r="AH27" s="36">
        <f t="shared" si="27"/>
        <v>22.224350176678396</v>
      </c>
      <c r="AI27" s="36">
        <f t="shared" si="27"/>
        <v>30.24980996270115</v>
      </c>
      <c r="AJ27" s="36">
        <f t="shared" si="27"/>
        <v>39.50995586965048</v>
      </c>
      <c r="AK27" s="36">
        <f t="shared" si="27"/>
        <v>50.004787897526384</v>
      </c>
      <c r="AL27" s="37">
        <f t="shared" si="27"/>
        <v>61.734306046328875</v>
      </c>
      <c r="AN27" s="101" t="s">
        <v>31</v>
      </c>
      <c r="AO27" s="35">
        <f>$AO$4</f>
        <v>14</v>
      </c>
      <c r="AP27" s="35">
        <f>$AO$4</f>
        <v>14</v>
      </c>
      <c r="AQ27" s="35">
        <f>$AO$4</f>
        <v>14</v>
      </c>
      <c r="AR27" s="35">
        <f>$AP$4</f>
        <v>7</v>
      </c>
      <c r="AS27" s="35">
        <f>$AP$4</f>
        <v>7</v>
      </c>
      <c r="AT27" s="116">
        <f>$AP$4</f>
        <v>7</v>
      </c>
      <c r="AV27" s="101"/>
      <c r="AW27" s="35">
        <f t="shared" si="28"/>
        <v>3.2802394588586554</v>
      </c>
      <c r="AX27" s="36">
        <f t="shared" si="29"/>
        <v>30.378351907303056</v>
      </c>
      <c r="AY27" s="35">
        <f t="shared" si="30"/>
        <v>3.2802394588586554</v>
      </c>
      <c r="AZ27" s="37">
        <f t="shared" si="31"/>
        <v>30.912450637889037</v>
      </c>
    </row>
    <row r="28" spans="16:52" ht="13.5" thickBot="1">
      <c r="P28" s="97"/>
      <c r="Q28" s="36">
        <f t="shared" si="32"/>
        <v>6.600000000000003</v>
      </c>
      <c r="R28" s="36">
        <f t="shared" si="24"/>
        <v>11.415844358335065</v>
      </c>
      <c r="S28" s="36"/>
      <c r="T28" s="36">
        <f t="shared" si="25"/>
        <v>6.538538171500692</v>
      </c>
      <c r="U28" s="36">
        <f t="shared" si="25"/>
        <v>10.216465892969829</v>
      </c>
      <c r="V28" s="36">
        <f t="shared" si="25"/>
        <v>14.711710885876554</v>
      </c>
      <c r="W28" s="36">
        <f t="shared" si="25"/>
        <v>20.024273150220864</v>
      </c>
      <c r="X28" s="36">
        <f t="shared" si="25"/>
        <v>26.154152686002767</v>
      </c>
      <c r="Y28" s="36">
        <f t="shared" si="25"/>
        <v>33.101349493222244</v>
      </c>
      <c r="Z28" s="37">
        <f t="shared" si="25"/>
        <v>40.865863571879316</v>
      </c>
      <c r="AB28" s="97"/>
      <c r="AC28" s="36">
        <f t="shared" si="33"/>
        <v>6.600000000000003</v>
      </c>
      <c r="AD28" s="36">
        <f t="shared" si="26"/>
        <v>11.544103324007878</v>
      </c>
      <c r="AE28" s="36"/>
      <c r="AF28" s="36">
        <f t="shared" si="27"/>
        <v>6.396326151413287</v>
      </c>
      <c r="AG28" s="36">
        <f t="shared" si="27"/>
        <v>9.99425961158326</v>
      </c>
      <c r="AH28" s="36">
        <f t="shared" si="27"/>
        <v>14.391733840679896</v>
      </c>
      <c r="AI28" s="36">
        <f t="shared" si="27"/>
        <v>19.58874883870319</v>
      </c>
      <c r="AJ28" s="36">
        <f t="shared" si="27"/>
        <v>25.58530460565315</v>
      </c>
      <c r="AK28" s="36">
        <f t="shared" si="27"/>
        <v>32.381401141529764</v>
      </c>
      <c r="AL28" s="37">
        <f t="shared" si="27"/>
        <v>39.97703844633304</v>
      </c>
      <c r="AN28" s="120" t="s">
        <v>35</v>
      </c>
      <c r="AO28" s="28">
        <f>AO$14+$AS$4*(COS(RADIANS(H$10))-1)</f>
        <v>18.82962913144534</v>
      </c>
      <c r="AP28" s="28">
        <f>AP$14+$AS$4*(COS(RADIANS(I$10))-1)</f>
        <v>18.53153893518325</v>
      </c>
      <c r="AQ28" s="28">
        <f>AQ$14+$AS$4*(COS(RADIANS(J$10))-1)</f>
        <v>18.330127018922195</v>
      </c>
      <c r="AR28" s="28">
        <f>AR$14-$AS$4*SIN(RADIANS(H$10))</f>
        <v>5.705904774487396</v>
      </c>
      <c r="AS28" s="28">
        <f>AS$14-$AS$4*SIN(RADIANS(I$10))</f>
        <v>4.886908691296503</v>
      </c>
      <c r="AT28" s="29">
        <f>AT$14-$AS$4*SIN(RADIANS(J$10))</f>
        <v>4.5</v>
      </c>
      <c r="AV28" s="101"/>
      <c r="AW28" s="35">
        <f t="shared" si="28"/>
        <v>2.0688687088716</v>
      </c>
      <c r="AX28" s="36">
        <f t="shared" si="29"/>
        <v>19.026407263891773</v>
      </c>
      <c r="AY28" s="35">
        <f t="shared" si="30"/>
        <v>2.0688687088716</v>
      </c>
      <c r="AZ28" s="37">
        <f t="shared" si="31"/>
        <v>19.240172206679798</v>
      </c>
    </row>
    <row r="29" spans="16:52" ht="13.5" thickBot="1">
      <c r="P29" s="97"/>
      <c r="Q29" s="36">
        <f t="shared" si="32"/>
        <v>2.700000000000003</v>
      </c>
      <c r="R29" s="36">
        <f t="shared" si="24"/>
        <v>4.669008731696152</v>
      </c>
      <c r="S29" s="50"/>
      <c r="T29" s="50">
        <f t="shared" si="25"/>
        <v>2.6911875606597064</v>
      </c>
      <c r="U29" s="36">
        <f t="shared" si="25"/>
        <v>4.204980563530792</v>
      </c>
      <c r="V29" s="36">
        <f t="shared" si="25"/>
        <v>6.05517201148434</v>
      </c>
      <c r="W29" s="36">
        <f t="shared" si="25"/>
        <v>8.24176190452035</v>
      </c>
      <c r="X29" s="36">
        <f t="shared" si="25"/>
        <v>10.764750242638826</v>
      </c>
      <c r="Y29" s="36">
        <f t="shared" si="25"/>
        <v>13.624137025839763</v>
      </c>
      <c r="Z29" s="37">
        <f t="shared" si="25"/>
        <v>16.819922254123167</v>
      </c>
      <c r="AB29" s="97"/>
      <c r="AC29" s="36">
        <f t="shared" si="33"/>
        <v>2.700000000000003</v>
      </c>
      <c r="AD29" s="36">
        <f t="shared" si="26"/>
        <v>4.690599066171529</v>
      </c>
      <c r="AE29" s="50"/>
      <c r="AF29" s="50">
        <f t="shared" si="27"/>
        <v>2.6665312815410593</v>
      </c>
      <c r="AG29" s="36">
        <f t="shared" si="27"/>
        <v>4.166455127407906</v>
      </c>
      <c r="AH29" s="36">
        <f t="shared" si="27"/>
        <v>5.999695383467384</v>
      </c>
      <c r="AI29" s="36">
        <f t="shared" si="27"/>
        <v>8.166252049719494</v>
      </c>
      <c r="AJ29" s="36">
        <f t="shared" si="27"/>
        <v>10.666125126164237</v>
      </c>
      <c r="AK29" s="36">
        <f t="shared" si="27"/>
        <v>13.499314612801614</v>
      </c>
      <c r="AL29" s="37">
        <f t="shared" si="27"/>
        <v>16.665820509631622</v>
      </c>
      <c r="AV29" s="120"/>
      <c r="AW29" s="28">
        <f t="shared" si="28"/>
        <v>0.8479161127735688</v>
      </c>
      <c r="AX29" s="50">
        <f t="shared" si="29"/>
        <v>7.781681219493588</v>
      </c>
      <c r="AY29" s="28">
        <f t="shared" si="30"/>
        <v>0.8479161127735688</v>
      </c>
      <c r="AZ29" s="51">
        <f t="shared" si="31"/>
        <v>7.8176651102858825</v>
      </c>
    </row>
    <row r="30" spans="16:46" ht="13.5" thickBot="1">
      <c r="P30" s="125" t="s">
        <v>134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7"/>
      <c r="AB30" s="125" t="s">
        <v>134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7"/>
      <c r="AO30" s="169"/>
      <c r="AP30" s="169"/>
      <c r="AQ30" s="169"/>
      <c r="AR30" s="169"/>
      <c r="AS30" s="169"/>
      <c r="AT30" s="169"/>
    </row>
    <row r="31" spans="20:46" ht="12.75">
      <c r="T31" s="158"/>
      <c r="AF31" s="158"/>
      <c r="AO31" s="169"/>
      <c r="AP31" s="169"/>
      <c r="AQ31" s="169"/>
      <c r="AR31" s="169"/>
      <c r="AS31" s="169"/>
      <c r="AT31" s="169"/>
    </row>
    <row r="32" spans="20:32" ht="12.75" customHeight="1">
      <c r="T32" s="158"/>
      <c r="AF32" s="158"/>
    </row>
    <row r="33" spans="20:32" ht="12.75" customHeight="1">
      <c r="T33" s="158"/>
      <c r="AF33" s="158"/>
    </row>
    <row r="34" spans="20:32" ht="102" customHeight="1">
      <c r="T34" s="158"/>
      <c r="AF34" s="158"/>
    </row>
    <row r="35" spans="20:32" ht="144.75" customHeight="1">
      <c r="T35" s="158"/>
      <c r="AF35" s="158"/>
    </row>
    <row r="36" spans="20:32" ht="12.75">
      <c r="T36" s="158"/>
      <c r="AF36" s="158"/>
    </row>
    <row r="37" spans="3:32" ht="12.75">
      <c r="C37" s="171" t="s">
        <v>135</v>
      </c>
      <c r="T37" s="158"/>
      <c r="AF37" s="158"/>
    </row>
    <row r="38" spans="3:32" ht="12.75">
      <c r="C38" s="158" t="s">
        <v>136</v>
      </c>
      <c r="T38" s="158"/>
      <c r="AF38" s="158"/>
    </row>
    <row r="39" spans="3:32" ht="12.75">
      <c r="C39" s="158" t="s">
        <v>137</v>
      </c>
      <c r="T39" s="158"/>
      <c r="AF39" s="158"/>
    </row>
    <row r="40" spans="3:32" ht="12.75">
      <c r="C40" s="158" t="s">
        <v>138</v>
      </c>
      <c r="D40" s="158"/>
      <c r="E40" s="158"/>
      <c r="T40" s="158"/>
      <c r="AF40" s="158"/>
    </row>
    <row r="41" spans="3:32" ht="12.75">
      <c r="C41" s="158" t="s">
        <v>139</v>
      </c>
      <c r="T41" s="158"/>
      <c r="AF41" s="158"/>
    </row>
    <row r="42" spans="3:32" ht="12.75">
      <c r="C42" s="158" t="s">
        <v>140</v>
      </c>
      <c r="T42" s="158"/>
      <c r="AF42" s="158"/>
    </row>
    <row r="43" spans="20:32" ht="12.75">
      <c r="T43" s="158"/>
      <c r="AF43" s="158"/>
    </row>
    <row r="44" spans="20:32" ht="12.75">
      <c r="T44" s="158"/>
      <c r="AF44" s="158"/>
    </row>
    <row r="45" spans="20:32" ht="12.75">
      <c r="T45" s="158"/>
      <c r="AF45" s="158"/>
    </row>
  </sheetData>
  <sheetProtection password="CF59" sheet="1" objects="1" scenarios="1"/>
  <conditionalFormatting sqref="T6:Z13 AF6:AL13">
    <cfRule type="cellIs" priority="1" dxfId="0" operator="greaterThan" stopIfTrue="1">
      <formula>$H$6+0.5</formula>
    </cfRule>
  </conditionalFormatting>
  <conditionalFormatting sqref="T14:Z21 AF14:AL21">
    <cfRule type="cellIs" priority="2" dxfId="0" operator="greaterThan" stopIfTrue="1">
      <formula>$I$6+0.5</formula>
    </cfRule>
  </conditionalFormatting>
  <conditionalFormatting sqref="T22:Z29 AF22:AL29">
    <cfRule type="cellIs" priority="3" dxfId="0" operator="greaterThan" stopIfTrue="1">
      <formula>$J$6+0.5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workbookViewId="0" topLeftCell="A1">
      <pane xSplit="6" topLeftCell="G1" activePane="topRight" state="frozen"/>
      <selection pane="topLeft" activeCell="C3" sqref="C3"/>
      <selection pane="topRight" activeCell="C3" sqref="C3"/>
    </sheetView>
  </sheetViews>
  <sheetFormatPr defaultColWidth="9.140625" defaultRowHeight="13.5" customHeight="1"/>
  <cols>
    <col min="1" max="1" width="2.140625" style="1" customWidth="1"/>
    <col min="2" max="2" width="7.28125" style="1" bestFit="1" customWidth="1"/>
    <col min="3" max="3" width="6.140625" style="1" bestFit="1" customWidth="1"/>
    <col min="4" max="4" width="5.00390625" style="1" bestFit="1" customWidth="1"/>
    <col min="5" max="6" width="2.140625" style="1" customWidth="1"/>
    <col min="7" max="9" width="37.28125" style="1" customWidth="1"/>
    <col min="10" max="10" width="2.7109375" style="1" customWidth="1"/>
    <col min="11" max="11" width="15.00390625" style="1" hidden="1" customWidth="1"/>
    <col min="12" max="12" width="7.8515625" style="1" hidden="1" customWidth="1"/>
    <col min="13" max="13" width="6.00390625" style="11" hidden="1" customWidth="1"/>
    <col min="14" max="14" width="7.00390625" style="1" hidden="1" customWidth="1"/>
    <col min="15" max="15" width="0.13671875" style="1" hidden="1" customWidth="1"/>
    <col min="16" max="16" width="9.28125" style="11" hidden="1" customWidth="1"/>
    <col min="17" max="17" width="6.140625" style="1" hidden="1" customWidth="1"/>
    <col min="18" max="18" width="0.13671875" style="1" hidden="1" customWidth="1"/>
    <col min="19" max="19" width="6.28125" style="1" hidden="1" customWidth="1"/>
    <col min="20" max="20" width="4.140625" style="5" hidden="1" customWidth="1"/>
    <col min="21" max="22" width="5.140625" style="5" hidden="1" customWidth="1"/>
    <col min="23" max="23" width="4.140625" style="5" hidden="1" customWidth="1"/>
    <col min="24" max="25" width="4.28125" style="5" hidden="1" customWidth="1"/>
    <col min="26" max="26" width="4.140625" style="5" hidden="1" customWidth="1"/>
    <col min="27" max="27" width="6.140625" style="5" hidden="1" customWidth="1"/>
    <col min="28" max="28" width="7.00390625" style="5" hidden="1" customWidth="1"/>
    <col min="29" max="29" width="4.28125" style="5" hidden="1" customWidth="1"/>
    <col min="30" max="30" width="4.421875" style="5" hidden="1" customWidth="1"/>
    <col min="31" max="32" width="4.00390625" style="5" hidden="1" customWidth="1"/>
    <col min="33" max="33" width="4.57421875" style="5" hidden="1" customWidth="1"/>
    <col min="34" max="34" width="3.00390625" style="5" hidden="1" customWidth="1"/>
    <col min="35" max="35" width="2.140625" style="5" bestFit="1" customWidth="1"/>
    <col min="36" max="36" width="6.28125" style="1" customWidth="1"/>
    <col min="37" max="41" width="6.28125" style="5" customWidth="1"/>
    <col min="42" max="42" width="2.7109375" style="1" customWidth="1"/>
    <col min="43" max="43" width="5.7109375" style="1" bestFit="1" customWidth="1"/>
    <col min="44" max="44" width="5.140625" style="1" customWidth="1"/>
    <col min="45" max="45" width="5.57421875" style="1" bestFit="1" customWidth="1"/>
    <col min="46" max="51" width="5.140625" style="1" customWidth="1"/>
    <col min="52" max="16384" width="9.140625" style="1" customWidth="1"/>
  </cols>
  <sheetData>
    <row r="1" spans="1:51" s="8" customFormat="1" ht="13.5" customHeight="1">
      <c r="A1" s="1"/>
      <c r="C1" s="183" t="s">
        <v>169</v>
      </c>
      <c r="D1" s="1"/>
      <c r="E1" s="1"/>
      <c r="F1" s="1"/>
      <c r="G1" s="1"/>
      <c r="H1" s="1"/>
      <c r="I1" s="1"/>
      <c r="M1" s="10"/>
      <c r="P1" s="10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"/>
      <c r="AK1" s="5"/>
      <c r="AL1" s="5"/>
      <c r="AO1" s="5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3.5" customHeight="1" thickBot="1">
      <c r="A2" s="8"/>
      <c r="B2" s="10" t="s">
        <v>212</v>
      </c>
      <c r="C2" s="8"/>
      <c r="D2" s="8"/>
      <c r="E2" s="8"/>
      <c r="F2" s="8"/>
      <c r="G2" s="10" t="s">
        <v>170</v>
      </c>
      <c r="I2" s="11" t="s">
        <v>202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" t="s">
        <v>203</v>
      </c>
      <c r="AP2" s="11"/>
      <c r="AQ2" s="10" t="s">
        <v>81</v>
      </c>
      <c r="AR2" s="11"/>
      <c r="AS2" s="11"/>
      <c r="AT2" s="11"/>
      <c r="AU2" s="11"/>
      <c r="AV2" s="11"/>
      <c r="AW2" s="11"/>
      <c r="AX2" s="11"/>
      <c r="AY2" s="11"/>
    </row>
    <row r="3" spans="1:51" ht="13.5" customHeight="1" thickBot="1">
      <c r="A3" s="10"/>
      <c r="B3" s="55" t="s">
        <v>24</v>
      </c>
      <c r="C3" s="84">
        <v>10</v>
      </c>
      <c r="D3" s="85" t="s">
        <v>60</v>
      </c>
      <c r="E3" s="66"/>
      <c r="F3" s="10"/>
      <c r="G3" s="7"/>
      <c r="H3" s="7"/>
      <c r="I3" s="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I3" s="16"/>
      <c r="AJ3" s="80" t="s">
        <v>40</v>
      </c>
      <c r="AK3" s="17" t="s">
        <v>78</v>
      </c>
      <c r="AL3" s="17" t="s">
        <v>42</v>
      </c>
      <c r="AM3" s="17" t="s">
        <v>69</v>
      </c>
      <c r="AN3" s="17" t="s">
        <v>71</v>
      </c>
      <c r="AO3" s="18" t="s">
        <v>70</v>
      </c>
      <c r="AQ3" s="19"/>
      <c r="AR3" s="20" t="s">
        <v>17</v>
      </c>
      <c r="AS3" s="21" t="s">
        <v>18</v>
      </c>
      <c r="AT3" s="22" t="s">
        <v>19</v>
      </c>
      <c r="AU3" s="22" t="s">
        <v>20</v>
      </c>
      <c r="AV3" s="20" t="s">
        <v>21</v>
      </c>
      <c r="AW3" s="21" t="s">
        <v>22</v>
      </c>
      <c r="AX3" s="23" t="s">
        <v>38</v>
      </c>
      <c r="AY3" s="24" t="s">
        <v>39</v>
      </c>
    </row>
    <row r="4" spans="2:51" ht="13.5" customHeight="1" thickBot="1">
      <c r="B4" s="56" t="s">
        <v>25</v>
      </c>
      <c r="C4" s="57">
        <f>N4/10-10</f>
        <v>0</v>
      </c>
      <c r="D4" s="57" t="s">
        <v>60</v>
      </c>
      <c r="E4" s="58"/>
      <c r="F4" s="7"/>
      <c r="G4" s="7"/>
      <c r="H4" s="7"/>
      <c r="I4" s="7"/>
      <c r="K4" s="10" t="s">
        <v>198</v>
      </c>
      <c r="M4" s="11" t="s">
        <v>54</v>
      </c>
      <c r="N4" s="2">
        <v>100</v>
      </c>
      <c r="P4" s="11" t="s">
        <v>45</v>
      </c>
      <c r="Q4" s="1">
        <v>0</v>
      </c>
      <c r="S4" s="11" t="s">
        <v>40</v>
      </c>
      <c r="T4" s="83" t="s">
        <v>41</v>
      </c>
      <c r="U4" s="83" t="s">
        <v>10</v>
      </c>
      <c r="V4" s="83" t="s">
        <v>11</v>
      </c>
      <c r="W4" s="83" t="s">
        <v>30</v>
      </c>
      <c r="X4" s="83" t="s">
        <v>44</v>
      </c>
      <c r="Y4" s="83" t="s">
        <v>43</v>
      </c>
      <c r="Z4" s="83" t="s">
        <v>42</v>
      </c>
      <c r="AA4" s="83" t="s">
        <v>78</v>
      </c>
      <c r="AB4" s="83" t="s">
        <v>79</v>
      </c>
      <c r="AC4" s="83" t="s">
        <v>67</v>
      </c>
      <c r="AD4" s="83" t="s">
        <v>66</v>
      </c>
      <c r="AE4" s="83" t="s">
        <v>69</v>
      </c>
      <c r="AF4" s="83" t="s">
        <v>71</v>
      </c>
      <c r="AG4" s="83" t="s">
        <v>70</v>
      </c>
      <c r="AH4" s="4"/>
      <c r="AI4" s="156"/>
      <c r="AJ4" s="157"/>
      <c r="AK4" s="28" t="s">
        <v>60</v>
      </c>
      <c r="AL4" s="28" t="s">
        <v>61</v>
      </c>
      <c r="AM4" s="28" t="s">
        <v>63</v>
      </c>
      <c r="AN4" s="28" t="s">
        <v>64</v>
      </c>
      <c r="AO4" s="29" t="s">
        <v>63</v>
      </c>
      <c r="AQ4" s="30" t="s">
        <v>33</v>
      </c>
      <c r="AR4" s="31">
        <f>$Q$6</f>
        <v>10</v>
      </c>
      <c r="AS4" s="32">
        <f>$Q$7</f>
        <v>0</v>
      </c>
      <c r="AT4" s="33">
        <f>$Q$6</f>
        <v>10</v>
      </c>
      <c r="AU4" s="33">
        <f>$Q$7</f>
        <v>0</v>
      </c>
      <c r="AV4" s="31">
        <f>$Q$6</f>
        <v>10</v>
      </c>
      <c r="AW4" s="32">
        <f>$Q$7</f>
        <v>0</v>
      </c>
      <c r="AX4" s="33">
        <f>$Q$6</f>
        <v>10</v>
      </c>
      <c r="AY4" s="32">
        <f>$Q$7</f>
        <v>0</v>
      </c>
    </row>
    <row r="5" spans="2:51" ht="13.5" customHeight="1">
      <c r="B5" s="56" t="s">
        <v>26</v>
      </c>
      <c r="C5" s="57">
        <f>N5/10-10</f>
        <v>0.5</v>
      </c>
      <c r="D5" s="57" t="s">
        <v>60</v>
      </c>
      <c r="E5" s="58"/>
      <c r="F5" s="7"/>
      <c r="G5" s="7"/>
      <c r="H5" s="7"/>
      <c r="I5" s="7"/>
      <c r="K5" s="147">
        <v>1</v>
      </c>
      <c r="M5" s="11" t="s">
        <v>55</v>
      </c>
      <c r="N5" s="2">
        <v>105</v>
      </c>
      <c r="P5" s="11" t="s">
        <v>46</v>
      </c>
      <c r="Q5" s="1">
        <v>0</v>
      </c>
      <c r="S5" s="3">
        <f>$C$20/100</f>
        <v>-0.3</v>
      </c>
      <c r="T5" s="5">
        <f aca="true" t="shared" si="0" ref="T5:T26">$Q$21+IF($S5&gt;0,$Q$22-$Q$21,$Q$21-$Q$23)*$S5</f>
        <v>-1.2813802266833834</v>
      </c>
      <c r="U5" s="5">
        <f aca="true" t="shared" si="1" ref="U5:U26">$Q$6+$Q$20*COS($T5)-$Q$4</f>
        <v>10.594218147244941</v>
      </c>
      <c r="V5" s="5">
        <f aca="true" t="shared" si="2" ref="V5:V26">$Q$7+$Q$20*SIN($T5)-$Q$5</f>
        <v>-1.9955139089412828</v>
      </c>
      <c r="W5" s="5">
        <f aca="true" t="shared" si="3" ref="W5:W26">(U5^2+V5^2+$Q$16^2-$Q$24^2)/(2*$Q$16)</f>
        <v>2.318783792611154</v>
      </c>
      <c r="X5" s="5">
        <f aca="true" t="shared" si="4" ref="X5:X26">IF($W5+$U5=0,PI(),2*ATAN(($V5+SQRT($V5^2-$W5^2+$U5^2))/($W5+$U5)))</f>
        <v>1.167834675687796</v>
      </c>
      <c r="Y5" s="5">
        <f aca="true" t="shared" si="5" ref="Y5:Y26">IF($W5+$U5=0,PI(),2*ATAN(($V5-SQRT($V5^2-$W5^2+$U5^2))/($W5+$U5)))</f>
        <v>-1.5401895274533628</v>
      </c>
      <c r="Z5" s="5">
        <f aca="true" t="shared" si="6" ref="Z5:Z26">IF(AND(ROUND(SIN($X$6),3)=ROUND(SIN($Q$18),3),ROUND(COS($X$6),3)=ROUND(COS($Q$18),3)),X5,Y5)</f>
        <v>-1.5401895274533628</v>
      </c>
      <c r="AA5" s="5">
        <f aca="true" t="shared" si="7" ref="AA5:AA26">$N$23*SIN($Z5-$Q$17+$N$17)</f>
        <v>-3.0896923764610618</v>
      </c>
      <c r="AB5" s="5">
        <f aca="true" t="shared" si="8" ref="AB5:AB26">ASIN(SIN($N$20*($Z5-$Q$17+$N$17-$N$18)))</f>
        <v>-0.17250385394569825</v>
      </c>
      <c r="AC5" s="5">
        <f aca="true" t="shared" si="9" ref="AC5:AC26">ACOS(($Q$24^2+$Q$20^2-($Q$4+$Q$16*COS($Z5)-$Q$6)^2-($Q$5+$Q$16*SIN($Z5)-$Q$7)^2)/(2*$Q$20*$Q$24))</f>
        <v>1.4270472555318645</v>
      </c>
      <c r="AD5" s="5">
        <f aca="true" t="shared" si="10" ref="AD5:AD26">ACOS(($Q$24^2+$Q$16^2-($Q$6+$Q$20*COS($T5)-$Q$4)^2-($Q$7+$Q$20*SIN($T5)-$Q$5)^2)/(2*$Q$16*$Q$24))</f>
        <v>1.4557360972879485</v>
      </c>
      <c r="AE5" s="4">
        <f aca="true" t="shared" si="11" ref="AE5:AE26">0.0000085*$C$16^2*$C$17^2*$C$18*ABS(SIN(AB5))</f>
        <v>81.07198311215002</v>
      </c>
      <c r="AF5" s="4">
        <f aca="true" t="shared" si="12" ref="AF5:AF26">AE5/($Q$16*SIN(AD5))</f>
        <v>23.083249020723294</v>
      </c>
      <c r="AG5" s="4">
        <f aca="true" t="shared" si="13" ref="AG5:AG26">AF5*$Q$20*SIN(AC5)</f>
        <v>47.566087043020985</v>
      </c>
      <c r="AH5" s="4"/>
      <c r="AI5" s="151" t="str">
        <f aca="true" t="shared" si="14" ref="AI5:AI26">IF($K$5&gt;0,IF(S5&lt;0,"-",IF(S5&gt;0,"+","")),"")</f>
        <v>-</v>
      </c>
      <c r="AJ5" s="152">
        <f aca="true" t="shared" si="15" ref="AJ5:AJ26">IF($K$5&gt;0,ABS(S5),S5)</f>
        <v>0.3</v>
      </c>
      <c r="AK5" s="153">
        <f aca="true" t="shared" si="16" ref="AK5:AK26">IF($K$5&gt;0,ABS(AA5),AA5)</f>
        <v>3.0896923764610618</v>
      </c>
      <c r="AL5" s="153">
        <f aca="true" t="shared" si="17" ref="AL5:AL26">IF($K$5&gt;0,ABS(DEGREES(ASIN(SIN($N$20*($Z5-$Q$17+$N$17))))),DEGREES(ASIN(SIN($N$20*($Z5-$Q$17+$N$17)))))</f>
        <v>9.883742780829683</v>
      </c>
      <c r="AM5" s="154">
        <f aca="true" t="shared" si="18" ref="AM5:AM26">AE5</f>
        <v>81.07198311215002</v>
      </c>
      <c r="AN5" s="153">
        <f aca="true" t="shared" si="19" ref="AN5:AN26">AF5/16</f>
        <v>1.4427030637952059</v>
      </c>
      <c r="AO5" s="155">
        <f aca="true" t="shared" si="20" ref="AO5:AO26">AG5</f>
        <v>47.566087043020985</v>
      </c>
      <c r="AQ5" s="30" t="s">
        <v>34</v>
      </c>
      <c r="AR5" s="31">
        <f>$AR$4+$Q$20*COS($Q$21)</f>
        <v>10.002991515685833</v>
      </c>
      <c r="AS5" s="32">
        <f>$AS$4+$Q$20*SIN($Q$21)</f>
        <v>-2.0821051890159703</v>
      </c>
      <c r="AT5" s="33">
        <f>$AR$4+$Q$20*COS($Q$22)</f>
        <v>8.296155140899218</v>
      </c>
      <c r="AU5" s="33">
        <f>$AS$4+$Q$20*SIN($Q$22)</f>
        <v>-1.1966969806133747</v>
      </c>
      <c r="AV5" s="31">
        <f>$AR$4+$Q$20*COS($Q$23)</f>
        <v>11.707276584913519</v>
      </c>
      <c r="AW5" s="32">
        <f>$AS$4+$Q$20*SIN($Q$23)</f>
        <v>-1.1917959682342292</v>
      </c>
      <c r="AX5" s="33">
        <f>$Q$6+$Q$20*COS($T$5)</f>
        <v>10.594218147244941</v>
      </c>
      <c r="AY5" s="32">
        <f>$Q$7+$Q$20*SIN($T$5)</f>
        <v>-1.9955139089412828</v>
      </c>
    </row>
    <row r="6" spans="2:51" ht="13.5" customHeight="1" thickBot="1">
      <c r="B6" s="59" t="s">
        <v>27</v>
      </c>
      <c r="C6" s="87">
        <f>N6/10-10</f>
        <v>-3.5</v>
      </c>
      <c r="D6" s="87" t="s">
        <v>60</v>
      </c>
      <c r="E6" s="88"/>
      <c r="F6" s="7"/>
      <c r="G6" s="7"/>
      <c r="H6" s="7"/>
      <c r="I6" s="7"/>
      <c r="M6" s="11" t="s">
        <v>56</v>
      </c>
      <c r="N6" s="2">
        <v>65</v>
      </c>
      <c r="P6" s="11" t="s">
        <v>48</v>
      </c>
      <c r="Q6" s="1">
        <f>Q4-$N$11</f>
        <v>10</v>
      </c>
      <c r="S6" s="3">
        <v>1</v>
      </c>
      <c r="T6" s="5">
        <f t="shared" si="0"/>
        <v>-2.529290641859329</v>
      </c>
      <c r="U6" s="5">
        <f t="shared" si="1"/>
        <v>8.296155140899218</v>
      </c>
      <c r="V6" s="5">
        <f t="shared" si="2"/>
        <v>-1.1966969806133747</v>
      </c>
      <c r="W6" s="5">
        <f t="shared" si="3"/>
        <v>-4.181119948912865</v>
      </c>
      <c r="X6" s="5">
        <f t="shared" si="4"/>
        <v>1.94977410754696</v>
      </c>
      <c r="Y6" s="5">
        <f t="shared" si="5"/>
        <v>-2.2362921569973606</v>
      </c>
      <c r="Z6" s="5">
        <f t="shared" si="6"/>
        <v>-2.2362921569973606</v>
      </c>
      <c r="AA6" s="5">
        <f t="shared" si="7"/>
        <v>9.000000000000014</v>
      </c>
      <c r="AB6" s="5">
        <f t="shared" si="8"/>
        <v>0.5235987755982998</v>
      </c>
      <c r="AC6" s="5">
        <f t="shared" si="9"/>
        <v>2.6793485425346937</v>
      </c>
      <c r="AD6" s="5">
        <f t="shared" si="10"/>
        <v>0.7552425959170681</v>
      </c>
      <c r="AE6" s="4">
        <f t="shared" si="11"/>
        <v>236.15550000000036</v>
      </c>
      <c r="AF6" s="4">
        <f t="shared" si="12"/>
        <v>97.444553106218</v>
      </c>
      <c r="AG6" s="4">
        <f t="shared" si="13"/>
        <v>90.48039237821602</v>
      </c>
      <c r="AH6" s="4"/>
      <c r="AI6" s="34" t="str">
        <f t="shared" si="14"/>
        <v>+</v>
      </c>
      <c r="AJ6" s="81">
        <f t="shared" si="15"/>
        <v>1</v>
      </c>
      <c r="AK6" s="35">
        <f t="shared" si="16"/>
        <v>9.000000000000014</v>
      </c>
      <c r="AL6" s="35">
        <f t="shared" si="17"/>
        <v>30.000000000000053</v>
      </c>
      <c r="AM6" s="36">
        <f t="shared" si="18"/>
        <v>236.15550000000036</v>
      </c>
      <c r="AN6" s="35">
        <f t="shared" si="19"/>
        <v>6.090284569138625</v>
      </c>
      <c r="AO6" s="37">
        <f t="shared" si="20"/>
        <v>90.48039237821602</v>
      </c>
      <c r="AQ6" s="30" t="s">
        <v>32</v>
      </c>
      <c r="AR6" s="31">
        <f>$Q$4+$Q$16*COS($Q$17)</f>
        <v>-0.500000000000001</v>
      </c>
      <c r="AS6" s="32">
        <f>$Q$5+$Q$16*SIN($Q$17)</f>
        <v>-3.5</v>
      </c>
      <c r="AT6" s="33">
        <f>$Q$4+$Q$16*COS($Q$18)</f>
        <v>-2.183012701892221</v>
      </c>
      <c r="AU6" s="33">
        <f>$Q$5+$Q$16*SIN($Q$18)</f>
        <v>-2.7810889132455343</v>
      </c>
      <c r="AV6" s="31">
        <f>$Q$4+$Q$16*COS($Q$19)</f>
        <v>1.3169872981077808</v>
      </c>
      <c r="AW6" s="32">
        <f>$Q$5+$Q$16*SIN($Q$19)</f>
        <v>-3.281088913245535</v>
      </c>
      <c r="AX6" s="33">
        <f>Q$4+$Q$16*COS($Z$5)</f>
        <v>0.10819448264228013</v>
      </c>
      <c r="AY6" s="32">
        <f>$Q$5+$Q$16*SIN(Z$5)</f>
        <v>-3.533878033255501</v>
      </c>
    </row>
    <row r="7" spans="6:51" ht="13.5" customHeight="1" thickBot="1">
      <c r="F7" s="7"/>
      <c r="G7" s="7"/>
      <c r="H7" s="7"/>
      <c r="I7" s="7"/>
      <c r="K7" s="11"/>
      <c r="M7" s="11" t="s">
        <v>57</v>
      </c>
      <c r="N7" s="2">
        <v>90</v>
      </c>
      <c r="P7" s="11" t="s">
        <v>47</v>
      </c>
      <c r="Q7" s="1">
        <f>Q5+C4</f>
        <v>0</v>
      </c>
      <c r="S7" s="3">
        <v>0.9</v>
      </c>
      <c r="T7" s="5">
        <f t="shared" si="0"/>
        <v>-2.433297532999641</v>
      </c>
      <c r="U7" s="5">
        <f t="shared" si="1"/>
        <v>8.41869762728919</v>
      </c>
      <c r="V7" s="5">
        <f t="shared" si="2"/>
        <v>-1.3544939177982636</v>
      </c>
      <c r="W7" s="5">
        <f t="shared" si="3"/>
        <v>-3.834517456473631</v>
      </c>
      <c r="X7" s="5">
        <f t="shared" si="4"/>
        <v>1.8776940363667276</v>
      </c>
      <c r="Y7" s="5">
        <f t="shared" si="5"/>
        <v>-2.1967421249694774</v>
      </c>
      <c r="Z7" s="5">
        <f t="shared" si="6"/>
        <v>-2.1967421249694774</v>
      </c>
      <c r="AA7" s="5">
        <f t="shared" si="7"/>
        <v>8.376598726358697</v>
      </c>
      <c r="AB7" s="5">
        <f t="shared" si="8"/>
        <v>0.48404874357041694</v>
      </c>
      <c r="AC7" s="5">
        <f t="shared" si="9"/>
        <v>2.5763303010805743</v>
      </c>
      <c r="AD7" s="5">
        <f t="shared" si="10"/>
        <v>0.8018177605393817</v>
      </c>
      <c r="AE7" s="4">
        <f t="shared" si="11"/>
        <v>219.79776228028896</v>
      </c>
      <c r="AF7" s="4">
        <f t="shared" si="12"/>
        <v>86.510364870784</v>
      </c>
      <c r="AG7" s="4">
        <f t="shared" si="13"/>
        <v>96.48107495481591</v>
      </c>
      <c r="AH7" s="4"/>
      <c r="AI7" s="34" t="str">
        <f t="shared" si="14"/>
        <v>+</v>
      </c>
      <c r="AJ7" s="81">
        <f t="shared" si="15"/>
        <v>0.9</v>
      </c>
      <c r="AK7" s="35">
        <f t="shared" si="16"/>
        <v>8.376598726358697</v>
      </c>
      <c r="AL7" s="35">
        <f t="shared" si="17"/>
        <v>27.733950085195133</v>
      </c>
      <c r="AM7" s="36">
        <f t="shared" si="18"/>
        <v>219.79776228028896</v>
      </c>
      <c r="AN7" s="35">
        <f t="shared" si="19"/>
        <v>5.406897804424</v>
      </c>
      <c r="AO7" s="37">
        <f t="shared" si="20"/>
        <v>96.48107495481591</v>
      </c>
      <c r="AQ7" s="30" t="s">
        <v>37</v>
      </c>
      <c r="AR7" s="31">
        <f>$Q$4+$N$12*COS($N$17)</f>
        <v>-0.5</v>
      </c>
      <c r="AS7" s="32">
        <f>$Q$5+$N$12*SIN($N$17)</f>
        <v>0</v>
      </c>
      <c r="AT7" s="33">
        <f>$Q$4+$N$12*COS($N$17+$N$13)</f>
        <v>-0.43301270189221935</v>
      </c>
      <c r="AU7" s="33">
        <f>$Q$5+$N$12*SIN($N$17+$N$13)</f>
        <v>0.24999999999999997</v>
      </c>
      <c r="AV7" s="31">
        <f>$Q$4+$N$12*COS($N$17+$N$14)</f>
        <v>-0.43301270189221935</v>
      </c>
      <c r="AW7" s="32">
        <f>$Q$5+$N$12*SIN($N$17+$N$14)</f>
        <v>-0.24999999999999997</v>
      </c>
      <c r="AX7" s="33">
        <f>$Q$4+$N$12*COS($N$17+$Z$5-$Q$17)</f>
        <v>-0.49257903500292455</v>
      </c>
      <c r="AY7" s="32">
        <f>$Q$5+$N$12*SIN($N$17+$Z$5-$Q$17)</f>
        <v>-0.0858247882350295</v>
      </c>
    </row>
    <row r="8" spans="2:51" ht="13.5" customHeight="1">
      <c r="B8" s="55" t="s">
        <v>2</v>
      </c>
      <c r="C8" s="84">
        <v>55</v>
      </c>
      <c r="D8" s="85" t="s">
        <v>61</v>
      </c>
      <c r="E8" s="66"/>
      <c r="F8" s="7"/>
      <c r="G8" s="7"/>
      <c r="H8" s="7"/>
      <c r="I8" s="7"/>
      <c r="M8" s="11" t="s">
        <v>58</v>
      </c>
      <c r="N8" s="2">
        <v>20</v>
      </c>
      <c r="S8" s="3">
        <v>0.8</v>
      </c>
      <c r="T8" s="5">
        <f t="shared" si="0"/>
        <v>-2.3373044241399525</v>
      </c>
      <c r="U8" s="5">
        <f t="shared" si="1"/>
        <v>8.555800118570101</v>
      </c>
      <c r="V8" s="5">
        <f t="shared" si="2"/>
        <v>-1.4998192123623413</v>
      </c>
      <c r="W8" s="5">
        <f t="shared" si="3"/>
        <v>-3.4467330512644234</v>
      </c>
      <c r="X8" s="5">
        <f t="shared" si="4"/>
        <v>1.8052919939924112</v>
      </c>
      <c r="Y8" s="5">
        <f t="shared" si="5"/>
        <v>-2.152362622378272</v>
      </c>
      <c r="Z8" s="5">
        <f t="shared" si="6"/>
        <v>-2.152362622378272</v>
      </c>
      <c r="AA8" s="5">
        <f t="shared" si="7"/>
        <v>7.661523365965055</v>
      </c>
      <c r="AB8" s="5">
        <f t="shared" si="8"/>
        <v>0.4396692409792118</v>
      </c>
      <c r="AC8" s="5">
        <f t="shared" si="9"/>
        <v>2.4749768665377005</v>
      </c>
      <c r="AD8" s="5">
        <f t="shared" si="10"/>
        <v>0.8515575888137722</v>
      </c>
      <c r="AE8" s="4">
        <f t="shared" si="11"/>
        <v>201.03454236124006</v>
      </c>
      <c r="AF8" s="4">
        <f t="shared" si="12"/>
        <v>75.58233447755939</v>
      </c>
      <c r="AG8" s="4">
        <f t="shared" si="13"/>
        <v>97.3068929641397</v>
      </c>
      <c r="AH8" s="4"/>
      <c r="AI8" s="34" t="str">
        <f t="shared" si="14"/>
        <v>+</v>
      </c>
      <c r="AJ8" s="81">
        <f t="shared" si="15"/>
        <v>0.8</v>
      </c>
      <c r="AK8" s="35">
        <f t="shared" si="16"/>
        <v>7.661523365965055</v>
      </c>
      <c r="AL8" s="35">
        <f t="shared" si="17"/>
        <v>25.191191889829177</v>
      </c>
      <c r="AM8" s="36">
        <f t="shared" si="18"/>
        <v>201.03454236124006</v>
      </c>
      <c r="AN8" s="35">
        <f t="shared" si="19"/>
        <v>4.723895904847462</v>
      </c>
      <c r="AO8" s="37">
        <f t="shared" si="20"/>
        <v>97.3068929641397</v>
      </c>
      <c r="AQ8" s="30" t="s">
        <v>36</v>
      </c>
      <c r="AR8" s="31">
        <f>$Q$4-1*$N$23</f>
        <v>18</v>
      </c>
      <c r="AS8" s="32">
        <f>$Q$5</f>
        <v>0</v>
      </c>
      <c r="AT8" s="33">
        <f>$Q$4-1*$N$23</f>
        <v>18</v>
      </c>
      <c r="AU8" s="33">
        <f>$Q$5</f>
        <v>0</v>
      </c>
      <c r="AV8" s="31">
        <f>$Q$4-1*$N$23</f>
        <v>18</v>
      </c>
      <c r="AW8" s="32">
        <f>$Q$5</f>
        <v>0</v>
      </c>
      <c r="AX8" s="33">
        <f>$Q$4-1*$N$23</f>
        <v>18</v>
      </c>
      <c r="AY8" s="32">
        <f>$Q$5</f>
        <v>0</v>
      </c>
    </row>
    <row r="9" spans="2:51" ht="13.5" customHeight="1">
      <c r="B9" s="56" t="s">
        <v>3</v>
      </c>
      <c r="C9" s="60">
        <v>55</v>
      </c>
      <c r="D9" s="57" t="s">
        <v>61</v>
      </c>
      <c r="E9" s="58"/>
      <c r="F9" s="7"/>
      <c r="G9" s="7"/>
      <c r="H9" s="7"/>
      <c r="I9" s="7"/>
      <c r="M9" s="11" t="s">
        <v>59</v>
      </c>
      <c r="N9" s="2">
        <v>70</v>
      </c>
      <c r="P9" s="11" t="s">
        <v>8</v>
      </c>
      <c r="Q9" s="5">
        <f>(AR$4-AR$6)^2-(AR$4-AT$6)^2+(AS$4-AS$6)^2-(AS$4-AU$6)^2</f>
        <v>-33.660254037844375</v>
      </c>
      <c r="S9" s="3">
        <v>0.7</v>
      </c>
      <c r="T9" s="5">
        <f t="shared" si="0"/>
        <v>-2.2413113152802646</v>
      </c>
      <c r="U9" s="5">
        <f t="shared" si="1"/>
        <v>8.706200229395506</v>
      </c>
      <c r="V9" s="5">
        <f t="shared" si="2"/>
        <v>-1.6313347666487976</v>
      </c>
      <c r="W9" s="5">
        <f t="shared" si="3"/>
        <v>-3.0213372982410123</v>
      </c>
      <c r="X9" s="5">
        <f t="shared" si="4"/>
        <v>1.7336511404099737</v>
      </c>
      <c r="Y9" s="5">
        <f t="shared" si="5"/>
        <v>-2.1041078554637886</v>
      </c>
      <c r="Z9" s="5">
        <f t="shared" si="6"/>
        <v>-2.1041078554637886</v>
      </c>
      <c r="AA9" s="5">
        <f t="shared" si="7"/>
        <v>6.866933296245945</v>
      </c>
      <c r="AB9" s="5">
        <f t="shared" si="8"/>
        <v>0.39141447406472785</v>
      </c>
      <c r="AC9" s="5">
        <f t="shared" si="9"/>
        <v>2.375053486901003</v>
      </c>
      <c r="AD9" s="5">
        <f t="shared" si="10"/>
        <v>0.9037426265052655</v>
      </c>
      <c r="AE9" s="4">
        <f t="shared" si="11"/>
        <v>180.1848962268455</v>
      </c>
      <c r="AF9" s="4">
        <f t="shared" si="12"/>
        <v>64.8687365052455</v>
      </c>
      <c r="AG9" s="4">
        <f t="shared" si="13"/>
        <v>93.6864443034094</v>
      </c>
      <c r="AH9" s="4"/>
      <c r="AI9" s="34" t="str">
        <f t="shared" si="14"/>
        <v>+</v>
      </c>
      <c r="AJ9" s="81">
        <f t="shared" si="15"/>
        <v>0.7</v>
      </c>
      <c r="AK9" s="35">
        <f t="shared" si="16"/>
        <v>6.866933296245945</v>
      </c>
      <c r="AL9" s="35">
        <f t="shared" si="17"/>
        <v>22.426397404241726</v>
      </c>
      <c r="AM9" s="36">
        <f t="shared" si="18"/>
        <v>180.1848962268455</v>
      </c>
      <c r="AN9" s="35">
        <f t="shared" si="19"/>
        <v>4.054296031577843</v>
      </c>
      <c r="AO9" s="37">
        <f t="shared" si="20"/>
        <v>93.6864443034094</v>
      </c>
      <c r="AQ9" s="30" t="s">
        <v>31</v>
      </c>
      <c r="AR9" s="31">
        <f>$Q$4</f>
        <v>0</v>
      </c>
      <c r="AS9" s="32">
        <f>$Q$5</f>
        <v>0</v>
      </c>
      <c r="AT9" s="33">
        <f>$Q$4</f>
        <v>0</v>
      </c>
      <c r="AU9" s="33">
        <f>$Q$5</f>
        <v>0</v>
      </c>
      <c r="AV9" s="31">
        <f>$Q$4</f>
        <v>0</v>
      </c>
      <c r="AW9" s="32">
        <f>$Q$5</f>
        <v>0</v>
      </c>
      <c r="AX9" s="33">
        <f>$Q$4</f>
        <v>0</v>
      </c>
      <c r="AY9" s="32">
        <f>$Q$5</f>
        <v>0</v>
      </c>
    </row>
    <row r="10" spans="2:51" ht="13.5" customHeight="1" thickBot="1">
      <c r="B10" s="56" t="s">
        <v>0</v>
      </c>
      <c r="C10" s="60">
        <v>30</v>
      </c>
      <c r="D10" s="57" t="s">
        <v>61</v>
      </c>
      <c r="E10" s="58"/>
      <c r="F10" s="7"/>
      <c r="G10" s="7"/>
      <c r="H10" s="7"/>
      <c r="I10" s="7"/>
      <c r="K10" s="11" t="s">
        <v>201</v>
      </c>
      <c r="P10" s="11" t="s">
        <v>9</v>
      </c>
      <c r="Q10" s="5">
        <f>(AR$4-AR$6)^2-(AR$4-AV$6)^2+(AS$4-AS$6)^2-(AS$4-AW$6)^2</f>
        <v>36.339745962155675</v>
      </c>
      <c r="S10" s="3">
        <v>0.6</v>
      </c>
      <c r="T10" s="5">
        <f t="shared" si="0"/>
        <v>-2.1453182064205762</v>
      </c>
      <c r="U10" s="5">
        <f t="shared" si="1"/>
        <v>8.868513135213817</v>
      </c>
      <c r="V10" s="5">
        <f t="shared" si="2"/>
        <v>-1.747829637610503</v>
      </c>
      <c r="W10" s="5">
        <f t="shared" si="3"/>
        <v>-2.56224707272813</v>
      </c>
      <c r="X10" s="5">
        <f t="shared" si="4"/>
        <v>1.6636102598938312</v>
      </c>
      <c r="Y10" s="5">
        <f t="shared" si="5"/>
        <v>-2.0527878626526785</v>
      </c>
      <c r="Z10" s="5">
        <f t="shared" si="6"/>
        <v>-2.0527878626526785</v>
      </c>
      <c r="AA10" s="5">
        <f t="shared" si="7"/>
        <v>6.004370939307554</v>
      </c>
      <c r="AB10" s="5">
        <f t="shared" si="8"/>
        <v>0.3400944812536177</v>
      </c>
      <c r="AC10" s="5">
        <f t="shared" si="9"/>
        <v>2.2763665488365143</v>
      </c>
      <c r="AD10" s="5">
        <f t="shared" si="10"/>
        <v>0.9577564485211769</v>
      </c>
      <c r="AE10" s="4">
        <f t="shared" si="11"/>
        <v>157.55169126196057</v>
      </c>
      <c r="AF10" s="4">
        <f t="shared" si="12"/>
        <v>54.483672718908515</v>
      </c>
      <c r="AG10" s="4">
        <f t="shared" si="13"/>
        <v>86.35593236875697</v>
      </c>
      <c r="AH10" s="4"/>
      <c r="AI10" s="34" t="str">
        <f t="shared" si="14"/>
        <v>+</v>
      </c>
      <c r="AJ10" s="81">
        <f t="shared" si="15"/>
        <v>0.6</v>
      </c>
      <c r="AK10" s="35">
        <f t="shared" si="16"/>
        <v>6.004370939307554</v>
      </c>
      <c r="AL10" s="35">
        <f t="shared" si="17"/>
        <v>19.485978411523387</v>
      </c>
      <c r="AM10" s="36">
        <f t="shared" si="18"/>
        <v>157.55169126196057</v>
      </c>
      <c r="AN10" s="35">
        <f t="shared" si="19"/>
        <v>3.405229544931782</v>
      </c>
      <c r="AO10" s="37">
        <f t="shared" si="20"/>
        <v>86.35593236875697</v>
      </c>
      <c r="AQ10" s="30" t="s">
        <v>35</v>
      </c>
      <c r="AR10" s="31">
        <f>$Q$4+$N$23*COS($N$17)</f>
        <v>-18</v>
      </c>
      <c r="AS10" s="32">
        <f>$Q$5+$N$23*SIN($N$17)</f>
        <v>0</v>
      </c>
      <c r="AT10" s="33">
        <f>$Q$4+$N$23*COS($N$17+$N$13)</f>
        <v>-15.588457268119896</v>
      </c>
      <c r="AU10" s="33">
        <f>$Q$5+$N$23*SIN($N$17+$N$13)</f>
        <v>8.999999999999998</v>
      </c>
      <c r="AV10" s="31">
        <f>$Q$4+$N$23*COS($N$17+$N$14)</f>
        <v>-15.588457268119896</v>
      </c>
      <c r="AW10" s="32">
        <f>$Q$5+$N$23*SIN($N$17+$N$14)</f>
        <v>-8.999999999999998</v>
      </c>
      <c r="AX10" s="33">
        <f>$Q$4+$N$23*COS($N$17+$Z$5-$Q$17)</f>
        <v>-17.732845260105282</v>
      </c>
      <c r="AY10" s="32">
        <f>$Q$5+$N$23*SIN($N$17+$Z$5-$Q$17)</f>
        <v>-3.0896923764610618</v>
      </c>
    </row>
    <row r="11" spans="2:51" ht="13.5" customHeight="1" thickBot="1">
      <c r="B11" s="59" t="s">
        <v>1</v>
      </c>
      <c r="C11" s="86">
        <v>30</v>
      </c>
      <c r="D11" s="87" t="s">
        <v>61</v>
      </c>
      <c r="E11" s="88"/>
      <c r="F11" s="7"/>
      <c r="G11" s="7"/>
      <c r="H11" s="7"/>
      <c r="I11" s="7"/>
      <c r="K11" s="1">
        <f>IF($K$5&gt;0,0.25,0.5)</f>
        <v>0.25</v>
      </c>
      <c r="M11" s="11" t="s">
        <v>24</v>
      </c>
      <c r="N11" s="1">
        <f>$N$20*C3</f>
        <v>-10</v>
      </c>
      <c r="P11" s="11" t="s">
        <v>10</v>
      </c>
      <c r="Q11" s="5">
        <f>Q$9*((AS$4-AW$6)*COS(N$16)-(AR$4-AV$6)*SIN(N$16)-(AS$4-AS$6))+Q$10*((AR$4-AT$6)*SIN(N$15)-(AS$4-AU$6)*COS(N$15)+(AS$4-AS$6))</f>
        <v>0.4392781917659363</v>
      </c>
      <c r="S11" s="3">
        <v>0.5</v>
      </c>
      <c r="T11" s="5">
        <f t="shared" si="0"/>
        <v>-2.0493250975608883</v>
      </c>
      <c r="U11" s="5">
        <f t="shared" si="1"/>
        <v>9.041244323183363</v>
      </c>
      <c r="V11" s="5">
        <f t="shared" si="2"/>
        <v>-1.8482311866931591</v>
      </c>
      <c r="W11" s="5">
        <f t="shared" si="3"/>
        <v>-2.07368949538543</v>
      </c>
      <c r="X11" s="5">
        <f t="shared" si="4"/>
        <v>1.59579947251028</v>
      </c>
      <c r="Y11" s="5">
        <f t="shared" si="5"/>
        <v>-1.9990875737110194</v>
      </c>
      <c r="Z11" s="5">
        <f t="shared" si="6"/>
        <v>-1.9990875737110194</v>
      </c>
      <c r="AA11" s="5">
        <f t="shared" si="7"/>
        <v>5.084912349127612</v>
      </c>
      <c r="AB11" s="5">
        <f t="shared" si="8"/>
        <v>0.28639419231195856</v>
      </c>
      <c r="AC11" s="5">
        <f t="shared" si="9"/>
        <v>2.1787603174201093</v>
      </c>
      <c r="AD11" s="5">
        <f t="shared" si="10"/>
        <v>1.0130698600195536</v>
      </c>
      <c r="AE11" s="4">
        <f t="shared" si="11"/>
        <v>133.42555758493398</v>
      </c>
      <c r="AF11" s="4">
        <f t="shared" si="12"/>
        <v>44.47872662260695</v>
      </c>
      <c r="AG11" s="4">
        <f t="shared" si="13"/>
        <v>76.0150381656967</v>
      </c>
      <c r="AH11" s="4"/>
      <c r="AI11" s="34" t="str">
        <f t="shared" si="14"/>
        <v>+</v>
      </c>
      <c r="AJ11" s="81">
        <f t="shared" si="15"/>
        <v>0.5</v>
      </c>
      <c r="AK11" s="35">
        <f t="shared" si="16"/>
        <v>5.084912349127612</v>
      </c>
      <c r="AL11" s="35">
        <f t="shared" si="17"/>
        <v>16.409178496533276</v>
      </c>
      <c r="AM11" s="36">
        <f t="shared" si="18"/>
        <v>133.42555758493398</v>
      </c>
      <c r="AN11" s="35">
        <f t="shared" si="19"/>
        <v>2.7799204139129343</v>
      </c>
      <c r="AO11" s="37">
        <f t="shared" si="20"/>
        <v>76.0150381656967</v>
      </c>
      <c r="AQ11" s="43" t="s">
        <v>50</v>
      </c>
      <c r="AR11" s="44">
        <f>IF($AV$12&gt;1,AX11*$AV$12,AX11)+SIGN(AX11)*AW12</f>
        <v>20</v>
      </c>
      <c r="AS11" s="45">
        <f>IF($AV$12&lt;1,AY11/$AV$12,AY11)+SIGN(AY11)</f>
        <v>9.999999999999998</v>
      </c>
      <c r="AT11" s="44" t="s">
        <v>82</v>
      </c>
      <c r="AU11" s="44"/>
      <c r="AV11" s="44">
        <f>AX11-AX12</f>
        <v>36</v>
      </c>
      <c r="AW11" s="44">
        <f>AY11-AY12</f>
        <v>17.999999999999996</v>
      </c>
      <c r="AX11" s="44">
        <f>MAX(AR4:AR10,AT4:AT10,AV4:AV10,AX4:AX10)</f>
        <v>18</v>
      </c>
      <c r="AY11" s="45">
        <f>MAX(AS4:AS10,AU4:AU10,AW4:AW10,AY4:AY10)</f>
        <v>8.999999999999998</v>
      </c>
    </row>
    <row r="12" spans="6:51" ht="13.5" customHeight="1" thickBot="1">
      <c r="F12" s="7"/>
      <c r="G12" s="7"/>
      <c r="H12" s="7"/>
      <c r="I12" s="7"/>
      <c r="M12" s="11" t="s">
        <v>26</v>
      </c>
      <c r="N12" s="1">
        <f>$N$20*C5</f>
        <v>-0.5</v>
      </c>
      <c r="P12" s="11" t="s">
        <v>11</v>
      </c>
      <c r="Q12" s="5">
        <f>Q$9*(-(AS$4-AW$6)*SIN(N$16)-(AR$4-AV$6)*COS(N$16)+(AR$4-AR$6))+Q$10*((AR$4-AT$6)*COS(N$15)+(AS$4-AU$6)*SIN(N$15)-(AR$4-AR$6))</f>
        <v>-305.7391297758876</v>
      </c>
      <c r="S12" s="3">
        <v>0.4</v>
      </c>
      <c r="T12" s="5">
        <f t="shared" si="0"/>
        <v>-1.9533319887012002</v>
      </c>
      <c r="U12" s="5">
        <f t="shared" si="1"/>
        <v>9.222803353053722</v>
      </c>
      <c r="V12" s="5">
        <f t="shared" si="2"/>
        <v>-1.9316149562655571</v>
      </c>
      <c r="W12" s="5">
        <f t="shared" si="3"/>
        <v>-1.5601630105575048</v>
      </c>
      <c r="X12" s="5">
        <f t="shared" si="4"/>
        <v>1.5306786982189455</v>
      </c>
      <c r="Y12" s="5">
        <f t="shared" si="5"/>
        <v>-1.943588406640283</v>
      </c>
      <c r="Z12" s="5">
        <f t="shared" si="6"/>
        <v>-1.943588406640283</v>
      </c>
      <c r="AA12" s="5">
        <f t="shared" si="7"/>
        <v>4.11927998590632</v>
      </c>
      <c r="AB12" s="5">
        <f t="shared" si="8"/>
        <v>0.2308950252412225</v>
      </c>
      <c r="AC12" s="5">
        <f t="shared" si="9"/>
        <v>2.082112183273731</v>
      </c>
      <c r="AD12" s="5">
        <f t="shared" si="10"/>
        <v>1.0692240523769794</v>
      </c>
      <c r="AE12" s="4">
        <f t="shared" si="11"/>
        <v>108.08784719018888</v>
      </c>
      <c r="AF12" s="4">
        <f t="shared" si="12"/>
        <v>34.866439859371525</v>
      </c>
      <c r="AG12" s="4">
        <f t="shared" si="13"/>
        <v>63.31078431428989</v>
      </c>
      <c r="AH12" s="4"/>
      <c r="AI12" s="34" t="str">
        <f t="shared" si="14"/>
        <v>+</v>
      </c>
      <c r="AJ12" s="81">
        <f t="shared" si="15"/>
        <v>0.4</v>
      </c>
      <c r="AK12" s="35">
        <f t="shared" si="16"/>
        <v>4.11927998590632</v>
      </c>
      <c r="AL12" s="35">
        <f t="shared" si="17"/>
        <v>13.229310456888662</v>
      </c>
      <c r="AM12" s="36">
        <f t="shared" si="18"/>
        <v>108.08784719018888</v>
      </c>
      <c r="AN12" s="35">
        <f t="shared" si="19"/>
        <v>2.1791524912107203</v>
      </c>
      <c r="AO12" s="37">
        <f t="shared" si="20"/>
        <v>63.31078431428989</v>
      </c>
      <c r="AQ12" s="42" t="s">
        <v>51</v>
      </c>
      <c r="AR12" s="46">
        <f>IF($AV$12&gt;1,AX12*$AV$12,AX12)+SIGN(AX12)*AW12</f>
        <v>-20</v>
      </c>
      <c r="AS12" s="47">
        <f>IF($AV$12&lt;1,AY12/$AV$12,AY12)+SIGN(AY12)</f>
        <v>-9.999999999999998</v>
      </c>
      <c r="AT12" s="46"/>
      <c r="AU12" s="46"/>
      <c r="AV12" s="46">
        <f>$AW$12/($AV$11/$AW$11)</f>
        <v>0.9999999999999998</v>
      </c>
      <c r="AW12" s="46">
        <v>2</v>
      </c>
      <c r="AX12" s="46">
        <f>MIN(AR5:AR10,AT5:AT10,AV5:AV10,AX5:AX10)</f>
        <v>-18</v>
      </c>
      <c r="AY12" s="47">
        <f>MIN(AS5:AS10,AU5:AU10,AW5:AW10,AY5:AY10)</f>
        <v>-8.999999999999998</v>
      </c>
    </row>
    <row r="13" spans="2:43" ht="13.5" customHeight="1" thickBot="1">
      <c r="B13" s="52" t="s">
        <v>16</v>
      </c>
      <c r="C13" s="64">
        <f>N7-90</f>
        <v>0</v>
      </c>
      <c r="D13" s="64" t="s">
        <v>61</v>
      </c>
      <c r="E13" s="54"/>
      <c r="F13" s="7"/>
      <c r="G13" s="7"/>
      <c r="H13" s="7"/>
      <c r="I13" s="7"/>
      <c r="K13" s="11" t="s">
        <v>199</v>
      </c>
      <c r="M13" s="11" t="s">
        <v>0</v>
      </c>
      <c r="N13" s="6">
        <f>$N$20*RADIANS(C10)</f>
        <v>-0.5235987755982988</v>
      </c>
      <c r="P13" s="11" t="s">
        <v>12</v>
      </c>
      <c r="Q13" s="6">
        <f>IF(AS$6-AS$4&gt;=0,ACOS((AR$6-AR$4)/SQRT((AR$6-AR$4)^2+(AS$6-AS$4)^2)),-ACOS((AR$6-AR$4)/SQRT((AR$6-AR$4)^2+(AS$6-AS$4)^2)))</f>
        <v>-2.8198420991931514</v>
      </c>
      <c r="S13" s="3">
        <v>0.3</v>
      </c>
      <c r="T13" s="5">
        <f t="shared" si="0"/>
        <v>-1.857338879841512</v>
      </c>
      <c r="U13" s="5">
        <f t="shared" si="1"/>
        <v>9.411518501308548</v>
      </c>
      <c r="V13" s="5">
        <f t="shared" si="2"/>
        <v>-1.997213181658681</v>
      </c>
      <c r="W13" s="5">
        <f t="shared" si="3"/>
        <v>-1.026395966383058</v>
      </c>
      <c r="X13" s="5">
        <f t="shared" si="4"/>
        <v>1.4685741291240468</v>
      </c>
      <c r="Y13" s="5">
        <f t="shared" si="5"/>
        <v>-1.886788892199052</v>
      </c>
      <c r="Z13" s="5">
        <f t="shared" si="6"/>
        <v>-1.886788892199052</v>
      </c>
      <c r="AA13" s="5">
        <f t="shared" si="7"/>
        <v>3.1179130555796566</v>
      </c>
      <c r="AB13" s="5">
        <f t="shared" si="8"/>
        <v>0.17409551079999172</v>
      </c>
      <c r="AC13" s="5">
        <f t="shared" si="9"/>
        <v>1.9863277558089447</v>
      </c>
      <c r="AD13" s="5">
        <f t="shared" si="10"/>
        <v>1.1258148854233083</v>
      </c>
      <c r="AE13" s="4">
        <f t="shared" si="11"/>
        <v>81.8124796218824</v>
      </c>
      <c r="AF13" s="4">
        <f t="shared" si="12"/>
        <v>25.636589216609508</v>
      </c>
      <c r="AG13" s="4">
        <f t="shared" si="13"/>
        <v>48.83575434690748</v>
      </c>
      <c r="AH13" s="4"/>
      <c r="AI13" s="34" t="str">
        <f t="shared" si="14"/>
        <v>+</v>
      </c>
      <c r="AJ13" s="81">
        <f t="shared" si="15"/>
        <v>0.3</v>
      </c>
      <c r="AK13" s="35">
        <f t="shared" si="16"/>
        <v>3.1179130555796566</v>
      </c>
      <c r="AL13" s="35">
        <f t="shared" si="17"/>
        <v>9.974938001013768</v>
      </c>
      <c r="AM13" s="36">
        <f t="shared" si="18"/>
        <v>81.8124796218824</v>
      </c>
      <c r="AN13" s="35">
        <f t="shared" si="19"/>
        <v>1.6022868260380942</v>
      </c>
      <c r="AO13" s="37">
        <f t="shared" si="20"/>
        <v>48.83575434690748</v>
      </c>
      <c r="AQ13" s="10" t="s">
        <v>210</v>
      </c>
    </row>
    <row r="14" spans="2:45" ht="13.5" customHeight="1">
      <c r="B14" s="56" t="s">
        <v>29</v>
      </c>
      <c r="C14" s="57">
        <f>N8-20</f>
        <v>0</v>
      </c>
      <c r="D14" s="57" t="s">
        <v>61</v>
      </c>
      <c r="E14" s="58"/>
      <c r="F14" s="7"/>
      <c r="G14" s="7"/>
      <c r="H14" s="7"/>
      <c r="I14" s="7"/>
      <c r="K14" s="1">
        <f>IF($K$5&gt;0,0,-1)</f>
        <v>0</v>
      </c>
      <c r="M14" s="11" t="s">
        <v>1</v>
      </c>
      <c r="N14" s="6">
        <f>-$N$20*RADIANS(C11)</f>
        <v>0.5235987755982988</v>
      </c>
      <c r="P14" s="11" t="s">
        <v>168</v>
      </c>
      <c r="Q14" s="6">
        <f>IF(AS$9-AS$4&gt;=0,ACOS((AR$9-AR$4)/SQRT((AR$9-AR$4)^2+(AS$9-AS$4)^2)),-ACOS((AR$9-AR$4)/SQRT((AR$9-AR$4)^2+(AS$9-AS$4)^2)))</f>
        <v>3.141592653589793</v>
      </c>
      <c r="S14" s="3">
        <v>0.2</v>
      </c>
      <c r="T14" s="5">
        <f t="shared" si="0"/>
        <v>-1.761345770981824</v>
      </c>
      <c r="U14" s="5">
        <f t="shared" si="1"/>
        <v>9.605652153732496</v>
      </c>
      <c r="V14" s="5">
        <f t="shared" si="2"/>
        <v>-2.04442186043818</v>
      </c>
      <c r="W14" s="5">
        <f t="shared" si="3"/>
        <v>-0.4773030780411139</v>
      </c>
      <c r="X14" s="5">
        <f t="shared" si="4"/>
        <v>1.409710512378843</v>
      </c>
      <c r="Y14" s="5">
        <f t="shared" si="5"/>
        <v>-1.8291228815948315</v>
      </c>
      <c r="Z14" s="5">
        <f t="shared" si="6"/>
        <v>-1.8291228815948315</v>
      </c>
      <c r="AA14" s="5">
        <f t="shared" si="7"/>
        <v>2.0909993167429826</v>
      </c>
      <c r="AB14" s="5">
        <f t="shared" si="8"/>
        <v>0.11642950019577089</v>
      </c>
      <c r="AC14" s="5">
        <f t="shared" si="9"/>
        <v>1.8913364167828797</v>
      </c>
      <c r="AD14" s="5">
        <f t="shared" si="10"/>
        <v>1.1824791261939058</v>
      </c>
      <c r="AE14" s="4">
        <f t="shared" si="11"/>
        <v>54.866776571677484</v>
      </c>
      <c r="AF14" s="4">
        <f t="shared" si="12"/>
        <v>16.76701346363149</v>
      </c>
      <c r="AG14" s="4">
        <f t="shared" si="13"/>
        <v>33.13255761142439</v>
      </c>
      <c r="AH14" s="4"/>
      <c r="AI14" s="34" t="str">
        <f t="shared" si="14"/>
        <v>+</v>
      </c>
      <c r="AJ14" s="81">
        <f t="shared" si="15"/>
        <v>0.2</v>
      </c>
      <c r="AK14" s="35">
        <f t="shared" si="16"/>
        <v>2.0909993167429826</v>
      </c>
      <c r="AL14" s="35">
        <f t="shared" si="17"/>
        <v>6.670918972035264</v>
      </c>
      <c r="AM14" s="36">
        <f t="shared" si="18"/>
        <v>54.866776571677484</v>
      </c>
      <c r="AN14" s="35">
        <f t="shared" si="19"/>
        <v>1.047938341476968</v>
      </c>
      <c r="AO14" s="37">
        <f t="shared" si="20"/>
        <v>33.13255761142439</v>
      </c>
      <c r="AQ14" s="16" t="s">
        <v>40</v>
      </c>
      <c r="AR14" s="146" t="s">
        <v>174</v>
      </c>
      <c r="AS14" s="139" t="s">
        <v>172</v>
      </c>
    </row>
    <row r="15" spans="2:45" ht="13.5" customHeight="1" thickBot="1">
      <c r="B15" s="59" t="s">
        <v>52</v>
      </c>
      <c r="C15" s="87"/>
      <c r="D15" s="87"/>
      <c r="E15" s="88"/>
      <c r="F15" s="7"/>
      <c r="G15" s="7"/>
      <c r="H15" s="7"/>
      <c r="I15" s="7"/>
      <c r="M15" s="11" t="s">
        <v>2</v>
      </c>
      <c r="N15" s="6">
        <f>$N$20*$N$22*RADIANS(C8)</f>
        <v>-0.9599310885968813</v>
      </c>
      <c r="P15" s="11" t="s">
        <v>49</v>
      </c>
      <c r="Q15" s="6">
        <f>IF(Q$11=0,PI()/2,ATAN(Q$12/Q$11))</f>
        <v>-1.5693595532624478</v>
      </c>
      <c r="S15" s="3">
        <v>0.1</v>
      </c>
      <c r="T15" s="5">
        <f t="shared" si="0"/>
        <v>-1.665352662122136</v>
      </c>
      <c r="U15" s="5">
        <f t="shared" si="1"/>
        <v>9.803416804673535</v>
      </c>
      <c r="V15" s="5">
        <f t="shared" si="2"/>
        <v>-2.0728063138191577</v>
      </c>
      <c r="W15" s="5">
        <f t="shared" si="3"/>
        <v>0.08205982499648327</v>
      </c>
      <c r="X15" s="5">
        <f t="shared" si="4"/>
        <v>1.3542385335620348</v>
      </c>
      <c r="Y15" s="5">
        <f t="shared" si="5"/>
        <v>-1.7709749837887523</v>
      </c>
      <c r="Z15" s="5">
        <f t="shared" si="6"/>
        <v>-1.7709749837887523</v>
      </c>
      <c r="AA15" s="5">
        <f t="shared" si="7"/>
        <v>1.0484750406177</v>
      </c>
      <c r="AB15" s="5">
        <f t="shared" si="8"/>
        <v>0.05828160238969169</v>
      </c>
      <c r="AC15" s="5">
        <f t="shared" si="9"/>
        <v>1.7970875468224117</v>
      </c>
      <c r="AD15" s="5">
        <f t="shared" si="10"/>
        <v>1.2388827851007653</v>
      </c>
      <c r="AE15" s="4">
        <f t="shared" si="11"/>
        <v>27.511460828288133</v>
      </c>
      <c r="AF15" s="4">
        <f t="shared" si="12"/>
        <v>8.230640079094304</v>
      </c>
      <c r="AG15" s="4">
        <f t="shared" si="13"/>
        <v>16.70017003723686</v>
      </c>
      <c r="AH15" s="4"/>
      <c r="AI15" s="34" t="str">
        <f t="shared" si="14"/>
        <v>+</v>
      </c>
      <c r="AJ15" s="81">
        <f t="shared" si="15"/>
        <v>0.1</v>
      </c>
      <c r="AK15" s="35">
        <f t="shared" si="16"/>
        <v>1.0484750406177</v>
      </c>
      <c r="AL15" s="35">
        <f t="shared" si="17"/>
        <v>3.339289840188907</v>
      </c>
      <c r="AM15" s="36">
        <f t="shared" si="18"/>
        <v>27.511460828288133</v>
      </c>
      <c r="AN15" s="35">
        <f t="shared" si="19"/>
        <v>0.514415004943394</v>
      </c>
      <c r="AO15" s="37">
        <f t="shared" si="20"/>
        <v>16.70017003723686</v>
      </c>
      <c r="AQ15" s="140"/>
      <c r="AR15" s="141" t="s">
        <v>61</v>
      </c>
      <c r="AS15" s="142" t="s">
        <v>173</v>
      </c>
    </row>
    <row r="16" spans="2:45" ht="13.5" customHeight="1">
      <c r="B16" s="52" t="s">
        <v>75</v>
      </c>
      <c r="C16" s="53">
        <v>70</v>
      </c>
      <c r="D16" s="64" t="s">
        <v>62</v>
      </c>
      <c r="E16" s="54"/>
      <c r="F16" s="7"/>
      <c r="G16" s="7"/>
      <c r="H16" s="7"/>
      <c r="I16" s="7"/>
      <c r="K16" s="11" t="s">
        <v>200</v>
      </c>
      <c r="M16" s="11" t="s">
        <v>3</v>
      </c>
      <c r="N16" s="6">
        <f>-$N$20*$N$22*RADIANS(C9)</f>
        <v>0.9599310885968813</v>
      </c>
      <c r="P16" s="11" t="s">
        <v>4</v>
      </c>
      <c r="Q16" s="6">
        <f>SQRT(N$12^2+C$6^2)</f>
        <v>3.5355339059327378</v>
      </c>
      <c r="S16" s="3">
        <v>0</v>
      </c>
      <c r="T16" s="5">
        <f t="shared" si="0"/>
        <v>-1.5693595532624478</v>
      </c>
      <c r="U16" s="5">
        <f t="shared" si="1"/>
        <v>10.002991515685833</v>
      </c>
      <c r="V16" s="5">
        <f t="shared" si="2"/>
        <v>-2.0821051890159703</v>
      </c>
      <c r="W16" s="5">
        <f t="shared" si="3"/>
        <v>0.6465423510370503</v>
      </c>
      <c r="X16" s="5">
        <f t="shared" si="4"/>
        <v>1.3022573828791826</v>
      </c>
      <c r="Y16" s="5">
        <f t="shared" si="5"/>
        <v>-1.7126933813990612</v>
      </c>
      <c r="Z16" s="5">
        <f t="shared" si="6"/>
        <v>-1.7126933813990612</v>
      </c>
      <c r="AA16" s="5">
        <f t="shared" si="7"/>
        <v>1.1576677116931222E-14</v>
      </c>
      <c r="AB16" s="5">
        <f t="shared" si="8"/>
        <v>6.431487287184012E-16</v>
      </c>
      <c r="AC16" s="5">
        <f t="shared" si="9"/>
        <v>1.7035474355734697</v>
      </c>
      <c r="AD16" s="5">
        <f t="shared" si="10"/>
        <v>1.2947113898797098</v>
      </c>
      <c r="AE16" s="4">
        <f t="shared" si="11"/>
        <v>3.037662192097168E-13</v>
      </c>
      <c r="AF16" s="4">
        <f t="shared" si="12"/>
        <v>8.929984473717648E-14</v>
      </c>
      <c r="AG16" s="4">
        <f t="shared" si="13"/>
        <v>1.842959413045461E-13</v>
      </c>
      <c r="AH16" s="4"/>
      <c r="AI16" s="34">
        <f t="shared" si="14"/>
      </c>
      <c r="AJ16" s="81">
        <f t="shared" si="15"/>
        <v>0</v>
      </c>
      <c r="AK16" s="35">
        <f t="shared" si="16"/>
        <v>1.1576677116931222E-14</v>
      </c>
      <c r="AL16" s="35">
        <f t="shared" si="17"/>
        <v>3.6849707754768714E-14</v>
      </c>
      <c r="AM16" s="36">
        <f t="shared" si="18"/>
        <v>3.037662192097168E-13</v>
      </c>
      <c r="AN16" s="35">
        <f t="shared" si="19"/>
        <v>5.58124029607353E-15</v>
      </c>
      <c r="AO16" s="37">
        <f t="shared" si="20"/>
        <v>1.842959413045461E-13</v>
      </c>
      <c r="AQ16" s="136">
        <v>0</v>
      </c>
      <c r="AR16" s="148">
        <f ca="1">SIGN($AC$6-$AC$26)*(ABS(OFFSET($AL$16,-AQ16*10,0))-ABS(OFFSET($AL$16,AQ16*10,0)))</f>
        <v>0</v>
      </c>
      <c r="AS16" s="145">
        <f aca="true" ca="1" t="shared" si="21" ref="AS16:AS26">RADIANS(AR16)*$Q$16*10*MAX(ABS(SIN(OFFSET($AC$16,AQ16*10,0))),ABS(SIN(OFFSET($AC$16,-AQ16*10,0))))</f>
        <v>0</v>
      </c>
    </row>
    <row r="17" spans="2:45" ht="13.5" customHeight="1">
      <c r="B17" s="56" t="s">
        <v>76</v>
      </c>
      <c r="C17" s="60">
        <v>18</v>
      </c>
      <c r="D17" s="57" t="s">
        <v>60</v>
      </c>
      <c r="E17" s="58"/>
      <c r="F17" s="7"/>
      <c r="G17" s="7"/>
      <c r="H17" s="1" t="s">
        <v>209</v>
      </c>
      <c r="I17" s="7"/>
      <c r="K17" s="1">
        <v>1</v>
      </c>
      <c r="M17" s="11" t="s">
        <v>16</v>
      </c>
      <c r="N17" s="1">
        <f>RADIANS($N$20*C$13)</f>
        <v>0</v>
      </c>
      <c r="P17" s="11" t="s">
        <v>5</v>
      </c>
      <c r="Q17" s="6">
        <f>IF(N$12=0,SIGN(C$6)*PI()/2,IF(SIGN(N$12)&gt;0,ATAN(C$6/N$12),ATAN(C$6/N$12)+PI()))+N$17</f>
        <v>4.570491925780526</v>
      </c>
      <c r="S17" s="3">
        <v>-0.1</v>
      </c>
      <c r="T17" s="5">
        <f t="shared" si="0"/>
        <v>-1.4733664444027597</v>
      </c>
      <c r="U17" s="5">
        <f t="shared" si="1"/>
        <v>10.202538682008532</v>
      </c>
      <c r="V17" s="5">
        <f t="shared" si="2"/>
        <v>-2.0722328656749887</v>
      </c>
      <c r="W17" s="5">
        <f t="shared" si="3"/>
        <v>1.2109469689304106</v>
      </c>
      <c r="X17" s="5">
        <f t="shared" si="4"/>
        <v>1.2538329568042152</v>
      </c>
      <c r="Y17" s="5">
        <f t="shared" si="5"/>
        <v>-1.654600355850041</v>
      </c>
      <c r="Z17" s="5">
        <f t="shared" si="6"/>
        <v>-1.654600355850041</v>
      </c>
      <c r="AA17" s="5">
        <f t="shared" si="7"/>
        <v>-1.0450864021587758</v>
      </c>
      <c r="AB17" s="5">
        <f t="shared" si="8"/>
        <v>-0.058093025549019545</v>
      </c>
      <c r="AC17" s="5">
        <f t="shared" si="9"/>
        <v>1.6106967950091413</v>
      </c>
      <c r="AD17" s="5">
        <f t="shared" si="10"/>
        <v>1.3496619471333704</v>
      </c>
      <c r="AE17" s="4">
        <f t="shared" si="11"/>
        <v>27.4225446494452</v>
      </c>
      <c r="AF17" s="4">
        <f t="shared" si="12"/>
        <v>7.9498516321555535</v>
      </c>
      <c r="AG17" s="4">
        <f t="shared" si="13"/>
        <v>16.5392700302138</v>
      </c>
      <c r="AH17" s="4"/>
      <c r="AI17" s="34" t="str">
        <f t="shared" si="14"/>
        <v>-</v>
      </c>
      <c r="AJ17" s="81">
        <f t="shared" si="15"/>
        <v>0.1</v>
      </c>
      <c r="AK17" s="35">
        <f t="shared" si="16"/>
        <v>1.0450864021587758</v>
      </c>
      <c r="AL17" s="35">
        <f t="shared" si="17"/>
        <v>3.328485183104482</v>
      </c>
      <c r="AM17" s="36">
        <f t="shared" si="18"/>
        <v>27.4225446494452</v>
      </c>
      <c r="AN17" s="35">
        <f t="shared" si="19"/>
        <v>0.4968657270097221</v>
      </c>
      <c r="AO17" s="37">
        <f t="shared" si="20"/>
        <v>16.5392700302138</v>
      </c>
      <c r="AQ17" s="34">
        <v>0.1</v>
      </c>
      <c r="AR17" s="149">
        <f aca="true" ca="1" t="shared" si="22" ref="AR17:AR26">SIGN($AC$6-$AC$26)*(ABS(OFFSET($AL$16,-AQ17*10,0))-ABS(OFFSET($AL$16,AQ17*10,0)))</f>
        <v>0.010804657084424907</v>
      </c>
      <c r="AS17" s="143">
        <f ca="1" t="shared" si="21"/>
        <v>0.006661891597167259</v>
      </c>
    </row>
    <row r="18" spans="2:45" ht="13.5" customHeight="1" thickBot="1">
      <c r="B18" s="61" t="s">
        <v>77</v>
      </c>
      <c r="C18" s="65">
        <v>35</v>
      </c>
      <c r="D18" s="62" t="s">
        <v>60</v>
      </c>
      <c r="E18" s="63"/>
      <c r="F18" s="7"/>
      <c r="G18" s="13" t="s">
        <v>85</v>
      </c>
      <c r="H18" s="13" t="s">
        <v>83</v>
      </c>
      <c r="I18" s="13" t="s">
        <v>84</v>
      </c>
      <c r="M18" s="11" t="s">
        <v>29</v>
      </c>
      <c r="N18" s="1">
        <f>RADIANS($C$14)*$N$20</f>
        <v>0</v>
      </c>
      <c r="P18" s="11" t="s">
        <v>6</v>
      </c>
      <c r="Q18" s="6">
        <f>Q$17+N$13</f>
        <v>4.0468931501822265</v>
      </c>
      <c r="S18" s="3">
        <v>-0.2</v>
      </c>
      <c r="T18" s="5">
        <f t="shared" si="0"/>
        <v>-1.3773733355430715</v>
      </c>
      <c r="U18" s="5">
        <f t="shared" si="1"/>
        <v>10.400220952501352</v>
      </c>
      <c r="V18" s="5">
        <f t="shared" si="2"/>
        <v>-2.043280244232846</v>
      </c>
      <c r="W18" s="5">
        <f t="shared" si="3"/>
        <v>1.7700768648737149</v>
      </c>
      <c r="X18" s="5">
        <f t="shared" si="4"/>
        <v>1.209012273979866</v>
      </c>
      <c r="Y18" s="5">
        <f t="shared" si="5"/>
        <v>-1.5970008730303602</v>
      </c>
      <c r="Z18" s="5">
        <f t="shared" si="6"/>
        <v>-1.5970008730303602</v>
      </c>
      <c r="AA18" s="5">
        <f t="shared" si="7"/>
        <v>-2.0778227104649374</v>
      </c>
      <c r="AB18" s="5">
        <f t="shared" si="8"/>
        <v>-0.1156925083687004</v>
      </c>
      <c r="AC18" s="5">
        <f t="shared" si="9"/>
        <v>1.518528760572861</v>
      </c>
      <c r="AD18" s="5">
        <f t="shared" si="10"/>
        <v>1.4034363555296439</v>
      </c>
      <c r="AE18" s="4">
        <f t="shared" si="11"/>
        <v>54.52102901124473</v>
      </c>
      <c r="AF18" s="4">
        <f t="shared" si="12"/>
        <v>15.639389628162856</v>
      </c>
      <c r="AG18" s="4">
        <f t="shared" si="13"/>
        <v>32.51841878109005</v>
      </c>
      <c r="AH18" s="4"/>
      <c r="AI18" s="34" t="str">
        <f t="shared" si="14"/>
        <v>-</v>
      </c>
      <c r="AJ18" s="81">
        <f t="shared" si="15"/>
        <v>0.2</v>
      </c>
      <c r="AK18" s="35">
        <f t="shared" si="16"/>
        <v>2.0778227104649374</v>
      </c>
      <c r="AL18" s="35">
        <f t="shared" si="17"/>
        <v>6.62869245080849</v>
      </c>
      <c r="AM18" s="36">
        <f t="shared" si="18"/>
        <v>54.52102901124473</v>
      </c>
      <c r="AN18" s="35">
        <f t="shared" si="19"/>
        <v>0.9774618517601785</v>
      </c>
      <c r="AO18" s="37">
        <f t="shared" si="20"/>
        <v>32.51841878109005</v>
      </c>
      <c r="AQ18" s="34">
        <v>0.2</v>
      </c>
      <c r="AR18" s="149">
        <f ca="1" t="shared" si="22"/>
        <v>0.04222652122677406</v>
      </c>
      <c r="AS18" s="143">
        <f ca="1" t="shared" si="21"/>
        <v>0.026021012044708615</v>
      </c>
    </row>
    <row r="19" spans="6:45" ht="13.5" customHeight="1" thickBot="1">
      <c r="F19" s="7"/>
      <c r="G19" s="7"/>
      <c r="H19" s="7"/>
      <c r="I19" s="7"/>
      <c r="M19" s="11" t="s">
        <v>53</v>
      </c>
      <c r="N19" s="2" t="b">
        <v>1</v>
      </c>
      <c r="P19" s="11" t="s">
        <v>7</v>
      </c>
      <c r="Q19" s="6">
        <f>Q$17+N$14</f>
        <v>5.094090701378825</v>
      </c>
      <c r="S19" s="3">
        <v>-0.3</v>
      </c>
      <c r="T19" s="5">
        <f t="shared" si="0"/>
        <v>-1.2813802266833834</v>
      </c>
      <c r="U19" s="5">
        <f t="shared" si="1"/>
        <v>10.594218147244941</v>
      </c>
      <c r="V19" s="5">
        <f t="shared" si="2"/>
        <v>-1.9955139089412828</v>
      </c>
      <c r="W19" s="5">
        <f t="shared" si="3"/>
        <v>2.318783792611154</v>
      </c>
      <c r="X19" s="5">
        <f t="shared" si="4"/>
        <v>1.167834675687796</v>
      </c>
      <c r="Y19" s="5">
        <f t="shared" si="5"/>
        <v>-1.5401895274533628</v>
      </c>
      <c r="Z19" s="5">
        <f t="shared" si="6"/>
        <v>-1.5401895274533628</v>
      </c>
      <c r="AA19" s="5">
        <f t="shared" si="7"/>
        <v>-3.0896923764610618</v>
      </c>
      <c r="AB19" s="5">
        <f t="shared" si="8"/>
        <v>-0.17250385394569825</v>
      </c>
      <c r="AC19" s="5">
        <f t="shared" si="9"/>
        <v>1.4270472555318645</v>
      </c>
      <c r="AD19" s="5">
        <f t="shared" si="10"/>
        <v>1.4557360972879485</v>
      </c>
      <c r="AE19" s="4">
        <f t="shared" si="11"/>
        <v>81.07198311215002</v>
      </c>
      <c r="AF19" s="4">
        <f t="shared" si="12"/>
        <v>23.083249020723294</v>
      </c>
      <c r="AG19" s="4">
        <f t="shared" si="13"/>
        <v>47.566087043020985</v>
      </c>
      <c r="AH19" s="4"/>
      <c r="AI19" s="34" t="str">
        <f t="shared" si="14"/>
        <v>-</v>
      </c>
      <c r="AJ19" s="81">
        <f t="shared" si="15"/>
        <v>0.3</v>
      </c>
      <c r="AK19" s="35">
        <f t="shared" si="16"/>
        <v>3.0896923764610618</v>
      </c>
      <c r="AL19" s="35">
        <f t="shared" si="17"/>
        <v>9.883742780829683</v>
      </c>
      <c r="AM19" s="36">
        <f t="shared" si="18"/>
        <v>81.07198311215002</v>
      </c>
      <c r="AN19" s="35">
        <f t="shared" si="19"/>
        <v>1.4427030637952059</v>
      </c>
      <c r="AO19" s="37">
        <f t="shared" si="20"/>
        <v>47.566087043020985</v>
      </c>
      <c r="AQ19" s="34">
        <v>0.3</v>
      </c>
      <c r="AR19" s="149">
        <f ca="1" t="shared" si="22"/>
        <v>0.0911952201840851</v>
      </c>
      <c r="AS19" s="143">
        <f ca="1" t="shared" si="21"/>
        <v>0.05569315549543037</v>
      </c>
    </row>
    <row r="20" spans="2:45" ht="13.5" customHeight="1">
      <c r="B20" s="67" t="s">
        <v>40</v>
      </c>
      <c r="C20" s="68">
        <f>N9-100</f>
        <v>-30</v>
      </c>
      <c r="D20" s="69" t="s">
        <v>65</v>
      </c>
      <c r="E20" s="70"/>
      <c r="F20" s="7"/>
      <c r="M20" s="11" t="s">
        <v>53</v>
      </c>
      <c r="N20" s="1">
        <f>IF(N$19,-1,1)</f>
        <v>-1</v>
      </c>
      <c r="P20" s="11" t="s">
        <v>23</v>
      </c>
      <c r="Q20" s="5">
        <f>Q10/(2*(($AR$4-$AV$6)*COS(Q23)-($AR$4-$AR$6)*COS($Q$21)+($AS$4-$AW$6)*SIN(Q23)-($AS$4-$AS$6)*SIN($Q$21)))</f>
        <v>2.0821073380816197</v>
      </c>
      <c r="S20" s="3">
        <v>-0.4</v>
      </c>
      <c r="T20" s="5">
        <f t="shared" si="0"/>
        <v>-1.1853871178236952</v>
      </c>
      <c r="U20" s="5">
        <f t="shared" si="1"/>
        <v>10.782744017035453</v>
      </c>
      <c r="V20" s="5">
        <f t="shared" si="2"/>
        <v>-1.9293736732651168</v>
      </c>
      <c r="W20" s="5">
        <f t="shared" si="3"/>
        <v>2.8520154764430052</v>
      </c>
      <c r="X20" s="5">
        <f t="shared" si="4"/>
        <v>1.1303403028707404</v>
      </c>
      <c r="Y20" s="5">
        <f t="shared" si="5"/>
        <v>-1.4844560601395373</v>
      </c>
      <c r="Z20" s="5">
        <f t="shared" si="6"/>
        <v>-1.4844560601395373</v>
      </c>
      <c r="AA20" s="5">
        <f t="shared" si="7"/>
        <v>-4.072696365636172</v>
      </c>
      <c r="AB20" s="5">
        <f t="shared" si="8"/>
        <v>-0.22823732125952326</v>
      </c>
      <c r="AC20" s="5">
        <f t="shared" si="9"/>
        <v>1.3362655941258523</v>
      </c>
      <c r="AD20" s="5">
        <f t="shared" si="10"/>
        <v>1.5062581171480984</v>
      </c>
      <c r="AE20" s="4">
        <f t="shared" si="11"/>
        <v>106.86551628611032</v>
      </c>
      <c r="AF20" s="4">
        <f t="shared" si="12"/>
        <v>30.289190577491436</v>
      </c>
      <c r="AG20" s="4">
        <f t="shared" si="13"/>
        <v>61.338837512991404</v>
      </c>
      <c r="AH20" s="4"/>
      <c r="AI20" s="34" t="str">
        <f t="shared" si="14"/>
        <v>-</v>
      </c>
      <c r="AJ20" s="81">
        <f t="shared" si="15"/>
        <v>0.4</v>
      </c>
      <c r="AK20" s="35">
        <f t="shared" si="16"/>
        <v>4.072696365636172</v>
      </c>
      <c r="AL20" s="35">
        <f t="shared" si="17"/>
        <v>13.077035235542182</v>
      </c>
      <c r="AM20" s="36">
        <f t="shared" si="18"/>
        <v>106.86551628611032</v>
      </c>
      <c r="AN20" s="35">
        <f t="shared" si="19"/>
        <v>1.8930744110932147</v>
      </c>
      <c r="AO20" s="37">
        <f t="shared" si="20"/>
        <v>61.338837512991404</v>
      </c>
      <c r="AQ20" s="34">
        <v>0.4</v>
      </c>
      <c r="AR20" s="149">
        <f ca="1" t="shared" si="22"/>
        <v>0.1522752213464802</v>
      </c>
      <c r="AS20" s="143">
        <f ca="1" t="shared" si="21"/>
        <v>0.091391619237561</v>
      </c>
    </row>
    <row r="21" spans="2:45" ht="13.5" customHeight="1">
      <c r="B21" s="71" t="s">
        <v>42</v>
      </c>
      <c r="C21" s="137">
        <f>DEGREES(ASIN(SIN($N$20*($Z5-$Q$17+$N$17))))</f>
        <v>-9.883742780829683</v>
      </c>
      <c r="D21" s="72" t="s">
        <v>61</v>
      </c>
      <c r="E21" s="73"/>
      <c r="G21" s="7"/>
      <c r="H21" s="7"/>
      <c r="I21" s="7"/>
      <c r="M21" s="11" t="s">
        <v>52</v>
      </c>
      <c r="N21" s="2" t="b">
        <v>0</v>
      </c>
      <c r="P21" s="11" t="s">
        <v>13</v>
      </c>
      <c r="Q21" s="6">
        <f>IF(SIGN(ASIN(SIN($Q$14-$Q$13)))*N$22*SIGN(ASIN(SIN(Q$15-Q$13)))&gt;0,Q$15-SIGN(ASIN(SIN($Q$14-$Q$13)))*N$22*PI(),Q$15)</f>
        <v>-1.5693595532624478</v>
      </c>
      <c r="S21" s="3">
        <v>-0.5</v>
      </c>
      <c r="T21" s="5">
        <f t="shared" si="0"/>
        <v>-1.0893940089640073</v>
      </c>
      <c r="U21" s="5">
        <f t="shared" si="1"/>
        <v>10.96406269045855</v>
      </c>
      <c r="V21" s="5">
        <f t="shared" si="2"/>
        <v>-1.8454685302543508</v>
      </c>
      <c r="W21" s="5">
        <f t="shared" si="3"/>
        <v>3.364862130575888</v>
      </c>
      <c r="X21" s="5">
        <f t="shared" si="4"/>
        <v>1.0965762316020973</v>
      </c>
      <c r="Y21" s="5">
        <f t="shared" si="5"/>
        <v>-1.4300895748123685</v>
      </c>
      <c r="Z21" s="5">
        <f t="shared" si="6"/>
        <v>-1.4300895748123685</v>
      </c>
      <c r="AA21" s="5">
        <f t="shared" si="7"/>
        <v>-5.019428005168294</v>
      </c>
      <c r="AB21" s="5">
        <f t="shared" si="8"/>
        <v>-0.28260380658669276</v>
      </c>
      <c r="AC21" s="5">
        <f t="shared" si="9"/>
        <v>1.246205201249634</v>
      </c>
      <c r="AD21" s="5">
        <f t="shared" si="10"/>
        <v>1.5546918864917978</v>
      </c>
      <c r="AE21" s="4">
        <f t="shared" si="11"/>
        <v>131.70728114161344</v>
      </c>
      <c r="AF21" s="4">
        <f t="shared" si="12"/>
        <v>37.25727593942873</v>
      </c>
      <c r="AG21" s="4">
        <f t="shared" si="13"/>
        <v>73.52284518113345</v>
      </c>
      <c r="AH21" s="4"/>
      <c r="AI21" s="34" t="str">
        <f t="shared" si="14"/>
        <v>-</v>
      </c>
      <c r="AJ21" s="81">
        <f t="shared" si="15"/>
        <v>0.5</v>
      </c>
      <c r="AK21" s="35">
        <f t="shared" si="16"/>
        <v>5.019428005168294</v>
      </c>
      <c r="AL21" s="35">
        <f t="shared" si="17"/>
        <v>16.19200539174891</v>
      </c>
      <c r="AM21" s="36">
        <f t="shared" si="18"/>
        <v>131.70728114161344</v>
      </c>
      <c r="AN21" s="35">
        <f t="shared" si="19"/>
        <v>2.3285797462142956</v>
      </c>
      <c r="AO21" s="37">
        <f t="shared" si="20"/>
        <v>73.52284518113345</v>
      </c>
      <c r="AQ21" s="34">
        <v>0.5</v>
      </c>
      <c r="AR21" s="149">
        <f ca="1" t="shared" si="22"/>
        <v>0.21717310478436502</v>
      </c>
      <c r="AS21" s="143">
        <f ca="1" t="shared" si="21"/>
        <v>0.12701251223394608</v>
      </c>
    </row>
    <row r="22" spans="2:45" ht="13.5" customHeight="1" thickBot="1">
      <c r="B22" s="74"/>
      <c r="C22" s="76"/>
      <c r="D22" s="76"/>
      <c r="E22" s="75"/>
      <c r="F22" s="7"/>
      <c r="G22" s="7"/>
      <c r="H22" s="7"/>
      <c r="I22" s="7"/>
      <c r="M22" s="11" t="s">
        <v>52</v>
      </c>
      <c r="N22" s="1">
        <f>IF(N$21,-1,1)</f>
        <v>1</v>
      </c>
      <c r="P22" s="11" t="s">
        <v>14</v>
      </c>
      <c r="Q22" s="6">
        <f>Q$21+N15</f>
        <v>-2.529290641859329</v>
      </c>
      <c r="S22" s="3">
        <v>-0.6</v>
      </c>
      <c r="T22" s="5">
        <f t="shared" si="0"/>
        <v>-0.993400900104319</v>
      </c>
      <c r="U22" s="5">
        <f t="shared" si="1"/>
        <v>11.136504657104695</v>
      </c>
      <c r="V22" s="5">
        <f t="shared" si="2"/>
        <v>-1.744571045177774</v>
      </c>
      <c r="W22" s="5">
        <f t="shared" si="3"/>
        <v>3.8526016664824247</v>
      </c>
      <c r="X22" s="5">
        <f t="shared" si="4"/>
        <v>1.0666005300042989</v>
      </c>
      <c r="Y22" s="5">
        <f t="shared" si="5"/>
        <v>-1.3773814895832293</v>
      </c>
      <c r="Z22" s="5">
        <f t="shared" si="6"/>
        <v>-1.3773814895832293</v>
      </c>
      <c r="AA22" s="5">
        <f t="shared" si="7"/>
        <v>-5.923146739045155</v>
      </c>
      <c r="AB22" s="5">
        <f t="shared" si="8"/>
        <v>-0.33531189181583115</v>
      </c>
      <c r="AC22" s="5">
        <f t="shared" si="9"/>
        <v>1.1568943278460047</v>
      </c>
      <c r="AD22" s="5">
        <f t="shared" si="10"/>
        <v>1.6007177362648772</v>
      </c>
      <c r="AE22" s="4">
        <f t="shared" si="11"/>
        <v>155.42040885917532</v>
      </c>
      <c r="AF22" s="4">
        <f t="shared" si="12"/>
        <v>43.97921563924116</v>
      </c>
      <c r="AG22" s="4">
        <f t="shared" si="13"/>
        <v>83.83718350762727</v>
      </c>
      <c r="AH22" s="4"/>
      <c r="AI22" s="34" t="str">
        <f t="shared" si="14"/>
        <v>-</v>
      </c>
      <c r="AJ22" s="81">
        <f t="shared" si="15"/>
        <v>0.6</v>
      </c>
      <c r="AK22" s="35">
        <f t="shared" si="16"/>
        <v>5.923146739045155</v>
      </c>
      <c r="AL22" s="35">
        <f t="shared" si="17"/>
        <v>19.211956221594374</v>
      </c>
      <c r="AM22" s="36">
        <f t="shared" si="18"/>
        <v>155.42040885917532</v>
      </c>
      <c r="AN22" s="35">
        <f t="shared" si="19"/>
        <v>2.7487009774525726</v>
      </c>
      <c r="AO22" s="37">
        <f t="shared" si="20"/>
        <v>83.83718350762727</v>
      </c>
      <c r="AQ22" s="34">
        <v>0.6</v>
      </c>
      <c r="AR22" s="149">
        <f ca="1" t="shared" si="22"/>
        <v>0.2740221899290134</v>
      </c>
      <c r="AS22" s="143">
        <f ca="1" t="shared" si="21"/>
        <v>0.15481184713229923</v>
      </c>
    </row>
    <row r="23" spans="6:45" ht="13.5" customHeight="1">
      <c r="F23" s="7"/>
      <c r="G23" s="7"/>
      <c r="H23" s="7"/>
      <c r="I23" s="7"/>
      <c r="M23" s="11" t="s">
        <v>30</v>
      </c>
      <c r="N23" s="1">
        <f>$N$20*$C$17</f>
        <v>-18</v>
      </c>
      <c r="P23" s="11" t="s">
        <v>15</v>
      </c>
      <c r="Q23" s="6">
        <f>Q$21+N16</f>
        <v>-0.6094284646655665</v>
      </c>
      <c r="S23" s="3">
        <v>-0.7</v>
      </c>
      <c r="T23" s="5">
        <f t="shared" si="0"/>
        <v>-0.897407791244631</v>
      </c>
      <c r="U23" s="5">
        <f t="shared" si="1"/>
        <v>11.298482139758663</v>
      </c>
      <c r="V23" s="5">
        <f t="shared" si="2"/>
        <v>-1.6276102420484735</v>
      </c>
      <c r="W23" s="5">
        <f t="shared" si="3"/>
        <v>4.31074317201901</v>
      </c>
      <c r="X23" s="5">
        <f t="shared" si="4"/>
        <v>1.0404843874544067</v>
      </c>
      <c r="Y23" s="5">
        <f t="shared" si="5"/>
        <v>-1.3266271847547793</v>
      </c>
      <c r="Z23" s="5">
        <f t="shared" si="6"/>
        <v>-1.3266271847547793</v>
      </c>
      <c r="AA23" s="5">
        <f t="shared" si="7"/>
        <v>-6.777847304567516</v>
      </c>
      <c r="AB23" s="5">
        <f t="shared" si="8"/>
        <v>-0.38606619664428116</v>
      </c>
      <c r="AC23" s="5">
        <f t="shared" si="9"/>
        <v>1.0683666423162337</v>
      </c>
      <c r="AD23" s="5">
        <f t="shared" si="10"/>
        <v>1.6440066177634116</v>
      </c>
      <c r="AE23" s="4">
        <f t="shared" si="11"/>
        <v>177.84732434819935</v>
      </c>
      <c r="AF23" s="4">
        <f t="shared" si="12"/>
        <v>50.437926519129796</v>
      </c>
      <c r="AG23" s="4">
        <f t="shared" si="13"/>
        <v>92.03864170483982</v>
      </c>
      <c r="AH23" s="4"/>
      <c r="AI23" s="34" t="str">
        <f t="shared" si="14"/>
        <v>-</v>
      </c>
      <c r="AJ23" s="81">
        <f t="shared" si="15"/>
        <v>0.7</v>
      </c>
      <c r="AK23" s="35">
        <f t="shared" si="16"/>
        <v>6.777847304567516</v>
      </c>
      <c r="AL23" s="35">
        <f t="shared" si="17"/>
        <v>22.119963680385016</v>
      </c>
      <c r="AM23" s="36">
        <f t="shared" si="18"/>
        <v>177.84732434819935</v>
      </c>
      <c r="AN23" s="35">
        <f t="shared" si="19"/>
        <v>3.1523704074456123</v>
      </c>
      <c r="AO23" s="37">
        <f t="shared" si="20"/>
        <v>92.03864170483982</v>
      </c>
      <c r="AQ23" s="34">
        <v>0.7</v>
      </c>
      <c r="AR23" s="149">
        <f ca="1" t="shared" si="22"/>
        <v>0.30643372385670986</v>
      </c>
      <c r="AS23" s="143">
        <f ca="1" t="shared" si="21"/>
        <v>0.1657214766362797</v>
      </c>
    </row>
    <row r="24" spans="2:45" ht="13.5" customHeight="1" thickBot="1">
      <c r="B24" s="10" t="s">
        <v>80</v>
      </c>
      <c r="F24" s="7"/>
      <c r="P24" s="11" t="s">
        <v>28</v>
      </c>
      <c r="Q24" s="5">
        <f>SQRT(($AR$5-$AR$6)^2+($AS$5-$AS$6)^2)</f>
        <v>10.598266673073672</v>
      </c>
      <c r="S24" s="3">
        <v>-0.8</v>
      </c>
      <c r="T24" s="5">
        <f t="shared" si="0"/>
        <v>-0.8014146823849427</v>
      </c>
      <c r="U24" s="5">
        <f t="shared" si="1"/>
        <v>11.448503714022213</v>
      </c>
      <c r="V24" s="5">
        <f t="shared" si="2"/>
        <v>-1.4956630495392944</v>
      </c>
      <c r="W24" s="5">
        <f t="shared" si="3"/>
        <v>4.7350682619631606</v>
      </c>
      <c r="X24" s="5">
        <f t="shared" si="4"/>
        <v>1.0183123746385991</v>
      </c>
      <c r="Y24" s="5">
        <f t="shared" si="5"/>
        <v>-1.2781262500731345</v>
      </c>
      <c r="Z24" s="5">
        <f t="shared" si="6"/>
        <v>-1.2781262500731345</v>
      </c>
      <c r="AA24" s="5">
        <f t="shared" si="7"/>
        <v>-7.578320512773462</v>
      </c>
      <c r="AB24" s="5">
        <f t="shared" si="8"/>
        <v>-0.4345671313259259</v>
      </c>
      <c r="AC24" s="5">
        <f t="shared" si="9"/>
        <v>0.9806595817061982</v>
      </c>
      <c r="AD24" s="5">
        <f t="shared" si="10"/>
        <v>1.6842215041954034</v>
      </c>
      <c r="AE24" s="4">
        <f t="shared" si="11"/>
        <v>198.85134109491926</v>
      </c>
      <c r="AF24" s="4">
        <f t="shared" si="12"/>
        <v>56.60739722005909</v>
      </c>
      <c r="AG24" s="4">
        <f t="shared" si="13"/>
        <v>97.92792511920605</v>
      </c>
      <c r="AH24" s="4"/>
      <c r="AI24" s="34" t="str">
        <f t="shared" si="14"/>
        <v>-</v>
      </c>
      <c r="AJ24" s="81">
        <f t="shared" si="15"/>
        <v>0.8</v>
      </c>
      <c r="AK24" s="35">
        <f t="shared" si="16"/>
        <v>7.578320512773462</v>
      </c>
      <c r="AL24" s="35">
        <f t="shared" si="17"/>
        <v>24.89886254008294</v>
      </c>
      <c r="AM24" s="36">
        <f t="shared" si="18"/>
        <v>198.85134109491926</v>
      </c>
      <c r="AN24" s="35">
        <f t="shared" si="19"/>
        <v>3.5379623262536932</v>
      </c>
      <c r="AO24" s="37">
        <f t="shared" si="20"/>
        <v>97.92792511920605</v>
      </c>
      <c r="AQ24" s="34">
        <v>0.8</v>
      </c>
      <c r="AR24" s="149">
        <f ca="1" t="shared" si="22"/>
        <v>0.29232934974623603</v>
      </c>
      <c r="AS24" s="143">
        <f ca="1" t="shared" si="21"/>
        <v>0.1498770188125599</v>
      </c>
    </row>
    <row r="25" spans="2:45" ht="13.5" customHeight="1">
      <c r="B25" s="14" t="s">
        <v>72</v>
      </c>
      <c r="C25" s="48">
        <f>MAX(AG5:AG26)</f>
        <v>102.23656073203699</v>
      </c>
      <c r="D25" s="41" t="s">
        <v>63</v>
      </c>
      <c r="E25" s="15"/>
      <c r="G25" s="7"/>
      <c r="H25" s="7"/>
      <c r="I25" s="7"/>
      <c r="S25" s="3">
        <v>-0.9</v>
      </c>
      <c r="T25" s="5">
        <f t="shared" si="0"/>
        <v>-0.7054215735252547</v>
      </c>
      <c r="U25" s="5">
        <f t="shared" si="1"/>
        <v>11.585188040758236</v>
      </c>
      <c r="V25" s="5">
        <f t="shared" si="2"/>
        <v>-1.3499443850508768</v>
      </c>
      <c r="W25" s="5">
        <f t="shared" si="3"/>
        <v>5.121669919231001</v>
      </c>
      <c r="X25" s="5">
        <f t="shared" si="4"/>
        <v>1.0001808343443683</v>
      </c>
      <c r="Y25" s="5">
        <f t="shared" si="5"/>
        <v>-1.2321812078520933</v>
      </c>
      <c r="Z25" s="5">
        <f t="shared" si="6"/>
        <v>-1.2321812078520933</v>
      </c>
      <c r="AA25" s="5">
        <f t="shared" si="7"/>
        <v>-8.320201385220095</v>
      </c>
      <c r="AB25" s="5">
        <f t="shared" si="8"/>
        <v>-0.4805121735469673</v>
      </c>
      <c r="AC25" s="5">
        <f t="shared" si="9"/>
        <v>0.8938123565714342</v>
      </c>
      <c r="AD25" s="5">
        <f t="shared" si="10"/>
        <v>1.7210206626915199</v>
      </c>
      <c r="AE25" s="4">
        <f t="shared" si="11"/>
        <v>218.31792424748264</v>
      </c>
      <c r="AF25" s="4">
        <f t="shared" si="12"/>
        <v>62.45300909741142</v>
      </c>
      <c r="AG25" s="4">
        <f t="shared" si="13"/>
        <v>101.35693226596769</v>
      </c>
      <c r="AH25" s="4"/>
      <c r="AI25" s="34" t="str">
        <f t="shared" si="14"/>
        <v>-</v>
      </c>
      <c r="AJ25" s="81">
        <f t="shared" si="15"/>
        <v>0.9</v>
      </c>
      <c r="AK25" s="35">
        <f t="shared" si="16"/>
        <v>8.320201385220095</v>
      </c>
      <c r="AL25" s="35">
        <f t="shared" si="17"/>
        <v>27.531319548898985</v>
      </c>
      <c r="AM25" s="36">
        <f t="shared" si="18"/>
        <v>218.31792424748264</v>
      </c>
      <c r="AN25" s="35">
        <f t="shared" si="19"/>
        <v>3.9033130685882136</v>
      </c>
      <c r="AO25" s="37">
        <f t="shared" si="20"/>
        <v>101.35693226596769</v>
      </c>
      <c r="AQ25" s="34">
        <v>0.9</v>
      </c>
      <c r="AR25" s="149">
        <f ca="1" t="shared" si="22"/>
        <v>0.20263053629614802</v>
      </c>
      <c r="AS25" s="143">
        <f ca="1" t="shared" si="21"/>
        <v>0.0974617583322706</v>
      </c>
    </row>
    <row r="26" spans="2:45" ht="13.5" customHeight="1" thickBot="1">
      <c r="B26" s="25" t="s">
        <v>73</v>
      </c>
      <c r="C26" s="77">
        <f>MAX(AE5:AE26)</f>
        <v>236.15550000000036</v>
      </c>
      <c r="D26" s="26" t="s">
        <v>63</v>
      </c>
      <c r="E26" s="27"/>
      <c r="F26" s="7"/>
      <c r="G26" s="7"/>
      <c r="H26" s="7"/>
      <c r="I26" s="7"/>
      <c r="S26" s="3">
        <v>-1</v>
      </c>
      <c r="T26" s="5">
        <f t="shared" si="0"/>
        <v>-0.6094284646655665</v>
      </c>
      <c r="U26" s="5">
        <f t="shared" si="1"/>
        <v>11.707276584913519</v>
      </c>
      <c r="V26" s="5">
        <f t="shared" si="2"/>
        <v>-1.1917959682342292</v>
      </c>
      <c r="W26" s="5">
        <f t="shared" si="3"/>
        <v>5.466988469140575</v>
      </c>
      <c r="X26" s="5">
        <f t="shared" si="4"/>
        <v>0.986194392854833</v>
      </c>
      <c r="Y26" s="5">
        <f t="shared" si="5"/>
        <v>-1.1890946058007612</v>
      </c>
      <c r="Z26" s="5">
        <f t="shared" si="6"/>
        <v>-1.1890946058007612</v>
      </c>
      <c r="AA26" s="5">
        <f t="shared" si="7"/>
        <v>-9.000000000000007</v>
      </c>
      <c r="AB26" s="5">
        <f t="shared" si="8"/>
        <v>-0.5235987755982995</v>
      </c>
      <c r="AC26" s="5">
        <f t="shared" si="9"/>
        <v>0.8078635258002657</v>
      </c>
      <c r="AD26" s="5">
        <f t="shared" si="10"/>
        <v>1.7540629866543318</v>
      </c>
      <c r="AE26" s="4">
        <f t="shared" si="11"/>
        <v>236.15550000000025</v>
      </c>
      <c r="AF26" s="4">
        <f t="shared" si="12"/>
        <v>67.93248569215605</v>
      </c>
      <c r="AG26" s="4">
        <f t="shared" si="13"/>
        <v>102.23656073203699</v>
      </c>
      <c r="AI26" s="49" t="str">
        <f t="shared" si="14"/>
        <v>-</v>
      </c>
      <c r="AJ26" s="82">
        <f t="shared" si="15"/>
        <v>1</v>
      </c>
      <c r="AK26" s="28">
        <f t="shared" si="16"/>
        <v>9.000000000000007</v>
      </c>
      <c r="AL26" s="28">
        <f t="shared" si="17"/>
        <v>30.000000000000036</v>
      </c>
      <c r="AM26" s="50">
        <f t="shared" si="18"/>
        <v>236.15550000000025</v>
      </c>
      <c r="AN26" s="28">
        <f t="shared" si="19"/>
        <v>4.245780355759753</v>
      </c>
      <c r="AO26" s="51">
        <f t="shared" si="20"/>
        <v>102.23656073203699</v>
      </c>
      <c r="AQ26" s="49">
        <v>1</v>
      </c>
      <c r="AR26" s="150">
        <f ca="1" t="shared" si="22"/>
        <v>1.7763568394002505E-14</v>
      </c>
      <c r="AS26" s="144">
        <f ca="1" t="shared" si="21"/>
        <v>7.922973385546289E-15</v>
      </c>
    </row>
    <row r="27" spans="2:21" ht="13.5" customHeight="1" thickBot="1">
      <c r="B27" s="38" t="s">
        <v>74</v>
      </c>
      <c r="C27" s="78">
        <f>MAX(AF5:AF26)/16</f>
        <v>6.090284569138625</v>
      </c>
      <c r="D27" s="39" t="s">
        <v>64</v>
      </c>
      <c r="E27" s="40"/>
      <c r="F27" s="7"/>
      <c r="G27" s="7"/>
      <c r="H27" s="7"/>
      <c r="I27" s="7"/>
      <c r="T27" s="1"/>
      <c r="U27" s="1"/>
    </row>
    <row r="28" spans="6:43" ht="13.5" customHeight="1" thickBot="1">
      <c r="F28" s="7"/>
      <c r="T28" s="1"/>
      <c r="U28" s="1"/>
      <c r="AP28" s="10" t="s">
        <v>207</v>
      </c>
      <c r="AQ28" s="8"/>
    </row>
    <row r="29" spans="2:43" ht="13.5" customHeight="1">
      <c r="B29" s="14" t="s">
        <v>68</v>
      </c>
      <c r="C29" s="138">
        <f>DEGREES(ACOS(($Q$24^2+$Q$20^2-($Q$4+$Q$16*COS($Q17)-$Q$6)^2-($Q$5+$Q$16*SIN($Q17)-$Q$7)^2)/(2*$Q$20*$Q$24)))</f>
        <v>97.60607825869432</v>
      </c>
      <c r="D29" s="41" t="s">
        <v>61</v>
      </c>
      <c r="E29" s="15"/>
      <c r="T29" s="1"/>
      <c r="U29" s="1"/>
      <c r="AI29" s="9"/>
      <c r="AP29" s="10" t="s">
        <v>208</v>
      </c>
      <c r="AQ29" s="8"/>
    </row>
    <row r="30" spans="2:42" ht="13.5" customHeight="1">
      <c r="B30" s="25" t="s">
        <v>171</v>
      </c>
      <c r="C30" s="79">
        <f>ABS(DEGREES(ASIN(SIN($Q$21))))</f>
        <v>89.91767894046963</v>
      </c>
      <c r="D30" s="26" t="s">
        <v>61</v>
      </c>
      <c r="E30" s="27"/>
      <c r="T30" s="1"/>
      <c r="U30" s="1"/>
      <c r="AP30" s="8" t="s">
        <v>176</v>
      </c>
    </row>
    <row r="31" spans="2:42" ht="13.5" customHeight="1">
      <c r="B31" s="25" t="s">
        <v>23</v>
      </c>
      <c r="C31" s="79">
        <f>$Q$20</f>
        <v>2.0821073380816197</v>
      </c>
      <c r="D31" s="26" t="s">
        <v>60</v>
      </c>
      <c r="E31" s="27"/>
      <c r="T31" s="1"/>
      <c r="U31" s="1"/>
      <c r="AP31" s="8" t="s">
        <v>175</v>
      </c>
    </row>
    <row r="32" spans="2:42" ht="13.5" customHeight="1" thickBot="1">
      <c r="B32" s="38" t="s">
        <v>28</v>
      </c>
      <c r="C32" s="78">
        <f>$Q$24</f>
        <v>10.598266673073672</v>
      </c>
      <c r="D32" s="39" t="s">
        <v>60</v>
      </c>
      <c r="E32" s="40"/>
      <c r="T32" s="1"/>
      <c r="U32" s="1"/>
      <c r="AP32" s="8" t="s">
        <v>204</v>
      </c>
    </row>
    <row r="33" spans="7:21" ht="13.5" customHeight="1">
      <c r="G33" s="10" t="s">
        <v>211</v>
      </c>
      <c r="T33" s="1"/>
      <c r="U33" s="1"/>
    </row>
    <row r="34" spans="20:21" ht="13.5" customHeight="1">
      <c r="T34" s="1"/>
      <c r="U34" s="1"/>
    </row>
    <row r="35" spans="20:21" ht="13.5" customHeight="1">
      <c r="T35" s="1"/>
      <c r="U35" s="1"/>
    </row>
    <row r="36" spans="20:21" ht="13.5" customHeight="1">
      <c r="T36" s="1"/>
      <c r="U36" s="1"/>
    </row>
  </sheetData>
  <sheetProtection password="C099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J15"/>
  <sheetViews>
    <sheetView workbookViewId="0" topLeftCell="A1">
      <selection activeCell="C5" sqref="C5"/>
    </sheetView>
  </sheetViews>
  <sheetFormatPr defaultColWidth="9.140625" defaultRowHeight="12.75"/>
  <cols>
    <col min="1" max="1" width="2.8515625" style="173" customWidth="1"/>
    <col min="2" max="2" width="12.28125" style="173" customWidth="1"/>
    <col min="3" max="3" width="9.00390625" style="173" bestFit="1" customWidth="1"/>
    <col min="4" max="4" width="6.00390625" style="173" bestFit="1" customWidth="1"/>
    <col min="5" max="5" width="19.00390625" style="173" bestFit="1" customWidth="1"/>
    <col min="6" max="6" width="20.7109375" style="173" bestFit="1" customWidth="1"/>
    <col min="7" max="7" width="3.140625" style="173" customWidth="1"/>
    <col min="8" max="8" width="7.140625" style="173" customWidth="1"/>
    <col min="9" max="9" width="4.57421875" style="173" bestFit="1" customWidth="1"/>
    <col min="10" max="10" width="2.28125" style="173" bestFit="1" customWidth="1"/>
    <col min="11" max="16384" width="9.140625" style="173" customWidth="1"/>
  </cols>
  <sheetData>
    <row r="2" ht="12.75">
      <c r="B2" s="172" t="s">
        <v>197</v>
      </c>
    </row>
    <row r="4" spans="2:10" ht="12.75">
      <c r="B4" s="178" t="s">
        <v>213</v>
      </c>
      <c r="C4" s="178" t="s">
        <v>214</v>
      </c>
      <c r="D4" s="178" t="s">
        <v>215</v>
      </c>
      <c r="E4" s="178" t="s">
        <v>216</v>
      </c>
      <c r="F4" s="178" t="s">
        <v>217</v>
      </c>
      <c r="H4" s="174" t="s">
        <v>190</v>
      </c>
      <c r="I4" s="177">
        <v>65</v>
      </c>
      <c r="J4" s="173" t="s">
        <v>191</v>
      </c>
    </row>
    <row r="5" spans="2:10" ht="12.75">
      <c r="B5" s="179">
        <v>15</v>
      </c>
      <c r="C5" s="180">
        <v>10</v>
      </c>
      <c r="D5" s="180">
        <v>9000</v>
      </c>
      <c r="E5" s="181">
        <f>C5*D5*60/(12*5280)</f>
        <v>85.22727272727273</v>
      </c>
      <c r="F5" s="182">
        <f>B5*PI()*D5*2.54/(100*60)*SQRT(0.0286/($I$6*8.314*$I$5))</f>
        <v>0.5212826043428296</v>
      </c>
      <c r="H5" s="174" t="s">
        <v>190</v>
      </c>
      <c r="I5" s="175">
        <f>IF(J4="F",(I4-32)*5/9+273.15,I4+273.15)</f>
        <v>291.4833333333333</v>
      </c>
      <c r="J5" s="173" t="s">
        <v>192</v>
      </c>
    </row>
    <row r="6" spans="2:9" ht="12.75">
      <c r="B6" s="179">
        <v>16</v>
      </c>
      <c r="C6" s="180">
        <v>8</v>
      </c>
      <c r="D6" s="180">
        <v>9000</v>
      </c>
      <c r="E6" s="181">
        <f>C6*D6*60/(12*5280)</f>
        <v>68.18181818181819</v>
      </c>
      <c r="F6" s="182">
        <f>B6*PI()*D6*2.54/(100*60)*SQRT(0.0286/($I$6*8.314*$I$5))</f>
        <v>0.556034777965685</v>
      </c>
      <c r="H6" s="174" t="s">
        <v>193</v>
      </c>
      <c r="I6" s="176">
        <v>1.4</v>
      </c>
    </row>
    <row r="7" spans="2:6" ht="12.75">
      <c r="B7" s="179">
        <v>18</v>
      </c>
      <c r="C7" s="180">
        <v>6</v>
      </c>
      <c r="D7" s="180">
        <v>9000</v>
      </c>
      <c r="E7" s="181">
        <f>C7*D7*60/(12*5280)</f>
        <v>51.13636363636363</v>
      </c>
      <c r="F7" s="182">
        <f>B7*PI()*D7*2.54/(100*60)*SQRT(0.0286/($I$6*8.314*$I$5))</f>
        <v>0.6255391252113955</v>
      </c>
    </row>
    <row r="8" spans="2:8" ht="12.75">
      <c r="B8" s="179">
        <v>10</v>
      </c>
      <c r="C8" s="180">
        <v>6</v>
      </c>
      <c r="D8" s="180">
        <v>15000</v>
      </c>
      <c r="E8" s="181">
        <f>C8*D8*60/(12*5280)</f>
        <v>85.22727272727273</v>
      </c>
      <c r="F8" s="182">
        <f>B8*PI()*D8*2.54/(100*60)*SQRT(0.0286/($I$6*8.314*$I$5))</f>
        <v>0.5792028937142552</v>
      </c>
      <c r="H8" s="173" t="s">
        <v>206</v>
      </c>
    </row>
    <row r="9" spans="2:8" ht="12.75">
      <c r="B9" s="179">
        <v>11</v>
      </c>
      <c r="C9" s="180">
        <v>4</v>
      </c>
      <c r="D9" s="180">
        <v>14000</v>
      </c>
      <c r="E9" s="181">
        <f>C9*D9*60/(12*5280)</f>
        <v>53.03030303030303</v>
      </c>
      <c r="F9" s="182">
        <f>B9*PI()*D9*2.54/(100*60)*SQRT(0.0286/($I$6*8.314*$I$5))</f>
        <v>0.5946483042133018</v>
      </c>
      <c r="H9" s="173" t="s">
        <v>218</v>
      </c>
    </row>
    <row r="11" spans="2:8" ht="12.75">
      <c r="B11" s="173" t="s">
        <v>177</v>
      </c>
      <c r="H11" s="173" t="s">
        <v>196</v>
      </c>
    </row>
    <row r="12" spans="2:8" ht="12.75">
      <c r="B12" s="173" t="s">
        <v>205</v>
      </c>
      <c r="H12" s="173" t="s">
        <v>194</v>
      </c>
    </row>
    <row r="14" ht="12.75">
      <c r="H14" s="173" t="s">
        <v>195</v>
      </c>
    </row>
    <row r="15" ht="12.75">
      <c r="H15" s="173" t="s">
        <v>219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Tenney</dc:creator>
  <cp:keywords/>
  <dc:description/>
  <cp:lastModifiedBy>Stephen Faust</cp:lastModifiedBy>
  <cp:lastPrinted>1998-10-19T02:01:22Z</cp:lastPrinted>
  <dcterms:created xsi:type="dcterms:W3CDTF">1998-03-24T21:02:46Z</dcterms:created>
  <cp:category/>
  <cp:version/>
  <cp:contentType/>
  <cp:contentStatus/>
</cp:coreProperties>
</file>